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mickelson\Desktop\"/>
    </mc:Choice>
  </mc:AlternateContent>
  <xr:revisionPtr revIDLastSave="0" documentId="13_ncr:1_{FF4617F2-D9BD-4BEC-BF1C-610BAC94F30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verty Guidelines" sheetId="1" r:id="rId1"/>
    <sheet name="Calculator" sheetId="2" r:id="rId2"/>
  </sheets>
  <definedNames>
    <definedName name="_xlnm.Print_Area" localSheetId="1">Calculator!$A$1:$L$99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2" l="1"/>
  <c r="K14" i="2"/>
  <c r="K13" i="2"/>
  <c r="K12" i="2"/>
  <c r="G10" i="2"/>
  <c r="H10" i="2" l="1"/>
  <c r="K15" i="2"/>
  <c r="J3" i="2"/>
  <c r="J8" i="2"/>
  <c r="J4" i="2"/>
  <c r="J1" i="2"/>
  <c r="B159" i="2"/>
  <c r="B135" i="2"/>
  <c r="B111" i="2"/>
  <c r="B87" i="2"/>
  <c r="B63" i="2"/>
  <c r="B39" i="2"/>
  <c r="B151" i="2"/>
  <c r="B127" i="2"/>
  <c r="B103" i="2"/>
  <c r="B79" i="2"/>
  <c r="B55" i="2"/>
  <c r="B31" i="2"/>
  <c r="B7" i="2"/>
  <c r="B27" i="2"/>
  <c r="B51" i="2" s="1"/>
  <c r="B44" i="2"/>
  <c r="B68" i="2" s="1"/>
  <c r="B92" i="2" s="1"/>
  <c r="B116" i="2" s="1"/>
  <c r="B140" i="2" s="1"/>
  <c r="B164" i="2" s="1"/>
  <c r="B43" i="2"/>
  <c r="B67" i="2" s="1"/>
  <c r="B42" i="2"/>
  <c r="K11" i="2" l="1"/>
  <c r="E42" i="2"/>
  <c r="E43" i="2"/>
  <c r="F28" i="2"/>
  <c r="F52" i="2" s="1"/>
  <c r="F76" i="2" s="1"/>
  <c r="B75" i="2"/>
  <c r="B99" i="2" s="1"/>
  <c r="B123" i="2" s="1"/>
  <c r="F18" i="2" l="1"/>
  <c r="J39" i="2" l="1"/>
  <c r="J10" i="2"/>
  <c r="J9" i="2"/>
  <c r="J5" i="2"/>
  <c r="H14" i="2" s="1"/>
  <c r="J14" i="2" l="1"/>
  <c r="F100" i="2" l="1"/>
  <c r="F124" i="2" s="1"/>
  <c r="B147" i="2" l="1"/>
  <c r="E66" i="2"/>
  <c r="E90" i="2" s="1"/>
  <c r="E114" i="2" l="1"/>
  <c r="E138" i="2" s="1"/>
  <c r="E162" i="2" s="1"/>
  <c r="E67" i="2" l="1"/>
  <c r="E44" i="2"/>
  <c r="J29" i="2" s="1"/>
  <c r="E41" i="2"/>
  <c r="B41" i="2"/>
  <c r="E91" i="2" l="1"/>
  <c r="E115" i="2" s="1"/>
  <c r="E139" i="2" s="1"/>
  <c r="E163" i="2" s="1"/>
  <c r="J34" i="2"/>
  <c r="J26" i="2"/>
  <c r="E65" i="2"/>
  <c r="E68" i="2"/>
  <c r="E92" i="2" l="1"/>
  <c r="J51" i="2"/>
  <c r="E89" i="2"/>
  <c r="E113" i="2" s="1"/>
  <c r="F17" i="2"/>
  <c r="E116" i="2" l="1"/>
  <c r="E140" i="2" s="1"/>
  <c r="E164" i="2" s="1"/>
  <c r="F26" i="2"/>
  <c r="F50" i="2" s="1"/>
  <c r="F74" i="2" s="1"/>
  <c r="F98" i="2" s="1"/>
  <c r="F122" i="2" s="1"/>
  <c r="F146" i="2" s="1"/>
  <c r="B65" i="2"/>
  <c r="B21" i="2"/>
  <c r="F19" i="2"/>
  <c r="G5" i="1"/>
  <c r="G6" i="1"/>
  <c r="G7" i="1"/>
  <c r="G8" i="1"/>
  <c r="G9" i="1"/>
  <c r="G10" i="1"/>
  <c r="G11" i="1"/>
  <c r="G4" i="1"/>
  <c r="B6" i="2" s="1"/>
  <c r="B8" i="2" s="1"/>
  <c r="B77" i="2"/>
  <c r="B78" i="2" s="1"/>
  <c r="B53" i="2"/>
  <c r="B54" i="2" s="1"/>
  <c r="J63" i="2" s="1"/>
  <c r="C18" i="2" l="1"/>
  <c r="F3" i="2"/>
  <c r="F5" i="2" s="1"/>
  <c r="B101" i="2"/>
  <c r="B102" i="2" s="1"/>
  <c r="J111" i="2" s="1"/>
  <c r="G34" i="2"/>
  <c r="H34" i="2" s="1"/>
  <c r="G58" i="2" s="1"/>
  <c r="B89" i="2"/>
  <c r="J82" i="2" s="1"/>
  <c r="J58" i="2"/>
  <c r="J48" i="2"/>
  <c r="E137" i="2"/>
  <c r="B80" i="2"/>
  <c r="J87" i="2"/>
  <c r="J15" i="2"/>
  <c r="B149" i="2"/>
  <c r="B150" i="2" s="1"/>
  <c r="B152" i="2" s="1"/>
  <c r="B125" i="2"/>
  <c r="B126" i="2" s="1"/>
  <c r="B29" i="2"/>
  <c r="B30" i="2" s="1"/>
  <c r="F41" i="2"/>
  <c r="B56" i="2"/>
  <c r="C20" i="2"/>
  <c r="F21" i="2"/>
  <c r="C19" i="2"/>
  <c r="C17" i="2"/>
  <c r="B104" i="2" l="1"/>
  <c r="H58" i="2"/>
  <c r="G82" i="2" s="1"/>
  <c r="H82" i="2" s="1"/>
  <c r="G106" i="2" s="1"/>
  <c r="H106" i="2" s="1"/>
  <c r="G130" i="2" s="1"/>
  <c r="H130" i="2" s="1"/>
  <c r="G154" i="2" s="1"/>
  <c r="H154" i="2" s="1"/>
  <c r="E161" i="2"/>
  <c r="B128" i="2"/>
  <c r="J135" i="2"/>
  <c r="J159" i="2"/>
  <c r="B10" i="2"/>
  <c r="G18" i="2" s="1"/>
  <c r="F65" i="2"/>
  <c r="B113" i="2"/>
  <c r="B11" i="2"/>
  <c r="G17" i="2" l="1"/>
  <c r="H17" i="2" s="1"/>
  <c r="G19" i="2"/>
  <c r="H19" i="2" s="1"/>
  <c r="I19" i="2" s="1"/>
  <c r="B137" i="2"/>
  <c r="J130" i="2" s="1"/>
  <c r="J106" i="2"/>
  <c r="J75" i="2"/>
  <c r="J72" i="2"/>
  <c r="F89" i="2"/>
  <c r="H18" i="2"/>
  <c r="I18" i="2" s="1"/>
  <c r="G20" i="2"/>
  <c r="J120" i="2" l="1"/>
  <c r="F137" i="2"/>
  <c r="B161" i="2"/>
  <c r="J154" i="2" s="1"/>
  <c r="J123" i="2"/>
  <c r="J99" i="2"/>
  <c r="J96" i="2"/>
  <c r="F113" i="2"/>
  <c r="G21" i="2"/>
  <c r="I17" i="2"/>
  <c r="I21" i="2" s="1"/>
  <c r="I23" i="2" s="1"/>
  <c r="H21" i="2"/>
  <c r="F161" i="2" l="1"/>
  <c r="J144" i="2"/>
  <c r="J147" i="2"/>
  <c r="L21" i="2"/>
  <c r="L23" i="2" s="1"/>
  <c r="L26" i="2" l="1"/>
  <c r="J28" i="2" l="1"/>
  <c r="J36" i="2"/>
  <c r="J27" i="2"/>
  <c r="J35" i="2"/>
  <c r="F42" i="2"/>
  <c r="F43" i="2"/>
  <c r="B45" i="2"/>
  <c r="J38" i="2" l="1"/>
  <c r="H38" i="2"/>
  <c r="C41" i="2"/>
  <c r="F27" i="2"/>
  <c r="C42" i="2"/>
  <c r="C44" i="2"/>
  <c r="C43" i="2"/>
  <c r="F45" i="2"/>
  <c r="F29" i="2" l="1"/>
  <c r="B32" i="2" l="1"/>
  <c r="B35" i="2" s="1"/>
  <c r="B34" i="2" l="1"/>
  <c r="G42" i="2" l="1"/>
  <c r="H42" i="2" s="1"/>
  <c r="G41" i="2"/>
  <c r="H41" i="2" s="1"/>
  <c r="I41" i="2" s="1"/>
  <c r="G43" i="2"/>
  <c r="H43" i="2" s="1"/>
  <c r="I43" i="2" s="1"/>
  <c r="G45" i="2" l="1"/>
  <c r="L45" i="2" s="1"/>
  <c r="L47" i="2" s="1"/>
  <c r="B66" i="2" s="1"/>
  <c r="H45" i="2"/>
  <c r="I42" i="2"/>
  <c r="I45" i="2" s="1"/>
  <c r="I47" i="2" s="1"/>
  <c r="L50" i="2" l="1"/>
  <c r="F67" i="2" l="1"/>
  <c r="B69" i="2"/>
  <c r="C66" i="2" s="1"/>
  <c r="J59" i="2"/>
  <c r="J49" i="2"/>
  <c r="F66" i="2"/>
  <c r="J60" i="2"/>
  <c r="J50" i="2"/>
  <c r="H62" i="2" l="1"/>
  <c r="F69" i="2"/>
  <c r="C67" i="2"/>
  <c r="C65" i="2"/>
  <c r="C68" i="2"/>
  <c r="G68" i="2" s="1"/>
  <c r="F51" i="2"/>
  <c r="F53" i="2" s="1"/>
  <c r="B59" i="2" s="1"/>
  <c r="J62" i="2"/>
  <c r="B58" i="2" l="1"/>
  <c r="G66" i="2" l="1"/>
  <c r="H66" i="2" s="1"/>
  <c r="I66" i="2" s="1"/>
  <c r="G67" i="2"/>
  <c r="H67" i="2" s="1"/>
  <c r="I67" i="2" s="1"/>
  <c r="G65" i="2"/>
  <c r="G69" i="2" l="1"/>
  <c r="H65" i="2"/>
  <c r="I65" i="2" l="1"/>
  <c r="I69" i="2" s="1"/>
  <c r="I71" i="2" s="1"/>
  <c r="H69" i="2"/>
  <c r="L69" i="2" s="1"/>
  <c r="L71" i="2" s="1"/>
  <c r="B91" i="2" l="1"/>
  <c r="B90" i="2"/>
  <c r="L74" i="2"/>
  <c r="F90" i="2" l="1"/>
  <c r="B93" i="2"/>
  <c r="C90" i="2" s="1"/>
  <c r="J83" i="2"/>
  <c r="J73" i="2"/>
  <c r="J84" i="2"/>
  <c r="J74" i="2"/>
  <c r="F91" i="2"/>
  <c r="F93" i="2" l="1"/>
  <c r="H86" i="2"/>
  <c r="F75" i="2"/>
  <c r="C92" i="2"/>
  <c r="C89" i="2"/>
  <c r="C91" i="2"/>
  <c r="J86" i="2"/>
  <c r="F77" i="2" l="1"/>
  <c r="B83" i="2" s="1"/>
  <c r="B82" i="2" l="1"/>
  <c r="G89" i="2" s="1"/>
  <c r="G90" i="2" l="1"/>
  <c r="H90" i="2" s="1"/>
  <c r="I90" i="2" s="1"/>
  <c r="G91" i="2"/>
  <c r="H91" i="2" s="1"/>
  <c r="I91" i="2" s="1"/>
  <c r="H89" i="2"/>
  <c r="G93" i="2" l="1"/>
  <c r="L93" i="2" s="1"/>
  <c r="L95" i="2" s="1"/>
  <c r="L98" i="2" s="1"/>
  <c r="H93" i="2"/>
  <c r="I89" i="2"/>
  <c r="I93" i="2" s="1"/>
  <c r="I95" i="2" s="1"/>
  <c r="B114" i="2" l="1"/>
  <c r="J97" i="2" s="1"/>
  <c r="B115" i="2"/>
  <c r="J108" i="2" s="1"/>
  <c r="J98" i="2" l="1"/>
  <c r="H110" i="2" s="1"/>
  <c r="F115" i="2"/>
  <c r="J100" i="2"/>
  <c r="B117" i="2"/>
  <c r="C114" i="2" s="1"/>
  <c r="F114" i="2"/>
  <c r="J107" i="2"/>
  <c r="J110" i="2" s="1"/>
  <c r="F117" i="2" l="1"/>
  <c r="F99" i="2"/>
  <c r="F101" i="2" s="1"/>
  <c r="B107" i="2" s="1"/>
  <c r="C113" i="2"/>
  <c r="C116" i="2"/>
  <c r="C115" i="2"/>
  <c r="B106" i="2" l="1"/>
  <c r="G114" i="2" s="1"/>
  <c r="H114" i="2" s="1"/>
  <c r="I114" i="2" s="1"/>
  <c r="G115" i="2" l="1"/>
  <c r="H115" i="2" s="1"/>
  <c r="I115" i="2" s="1"/>
  <c r="G113" i="2"/>
  <c r="H113" i="2" s="1"/>
  <c r="G117" i="2" l="1"/>
  <c r="L117" i="2" s="1"/>
  <c r="L119" i="2" s="1"/>
  <c r="L122" i="2" s="1"/>
  <c r="I113" i="2"/>
  <c r="I117" i="2" s="1"/>
  <c r="I119" i="2" s="1"/>
  <c r="H117" i="2"/>
  <c r="B139" i="2" l="1"/>
  <c r="J122" i="2" s="1"/>
  <c r="B138" i="2"/>
  <c r="J131" i="2" s="1"/>
  <c r="J121" i="2" l="1"/>
  <c r="H134" i="2" s="1"/>
  <c r="F138" i="2"/>
  <c r="J124" i="2"/>
  <c r="F139" i="2"/>
  <c r="J132" i="2"/>
  <c r="J134" i="2" s="1"/>
  <c r="B141" i="2"/>
  <c r="C140" i="2" s="1"/>
  <c r="F141" i="2" l="1"/>
  <c r="C137" i="2"/>
  <c r="F123" i="2"/>
  <c r="F125" i="2" s="1"/>
  <c r="B131" i="2" s="1"/>
  <c r="C139" i="2"/>
  <c r="C138" i="2"/>
  <c r="B130" i="2" l="1"/>
  <c r="G138" i="2" s="1"/>
  <c r="H138" i="2" s="1"/>
  <c r="I138" i="2" s="1"/>
  <c r="G139" i="2" l="1"/>
  <c r="H139" i="2" s="1"/>
  <c r="I139" i="2" s="1"/>
  <c r="G137" i="2"/>
  <c r="H137" i="2" s="1"/>
  <c r="G141" i="2" l="1"/>
  <c r="L141" i="2" s="1"/>
  <c r="L143" i="2" s="1"/>
  <c r="B163" i="2" s="1"/>
  <c r="H141" i="2"/>
  <c r="I137" i="2"/>
  <c r="I141" i="2" s="1"/>
  <c r="I143" i="2" s="1"/>
  <c r="L146" i="2" l="1"/>
  <c r="B162" i="2"/>
  <c r="J155" i="2" s="1"/>
  <c r="J156" i="2"/>
  <c r="F163" i="2"/>
  <c r="J146" i="2"/>
  <c r="J148" i="2"/>
  <c r="J145" i="2" l="1"/>
  <c r="H158" i="2" s="1"/>
  <c r="F162" i="2"/>
  <c r="F165" i="2" s="1"/>
  <c r="B165" i="2"/>
  <c r="C162" i="2" s="1"/>
  <c r="J158" i="2"/>
  <c r="C164" i="2" l="1"/>
  <c r="C161" i="2"/>
  <c r="F147" i="2"/>
  <c r="F149" i="2" s="1"/>
  <c r="B155" i="2" s="1"/>
  <c r="C163" i="2"/>
  <c r="B154" i="2" l="1"/>
  <c r="G163" i="2" s="1"/>
  <c r="H163" i="2" s="1"/>
  <c r="I163" i="2" s="1"/>
  <c r="G162" i="2" l="1"/>
  <c r="H162" i="2" s="1"/>
  <c r="I162" i="2" s="1"/>
  <c r="G161" i="2"/>
  <c r="H161" i="2" s="1"/>
  <c r="I161" i="2" s="1"/>
  <c r="I165" i="2" l="1"/>
  <c r="I167" i="2" s="1"/>
  <c r="G165" i="2"/>
  <c r="L165" i="2" s="1"/>
  <c r="L167" i="2" s="1"/>
  <c r="L170" i="2" s="1"/>
  <c r="H165" i="2"/>
</calcChain>
</file>

<file path=xl/sharedStrings.xml><?xml version="1.0" encoding="utf-8"?>
<sst xmlns="http://schemas.openxmlformats.org/spreadsheetml/2006/main" count="330" uniqueCount="62">
  <si>
    <t>PERSONS IN FAMILY/HOUSEHOLD</t>
  </si>
  <si>
    <t>POVERTY GUIDELINE</t>
  </si>
  <si>
    <t>150% OF POVERTY GUIDELINE</t>
  </si>
  <si>
    <t>Number in household:</t>
  </si>
  <si>
    <t>150% of Poverty Line:</t>
  </si>
  <si>
    <t>Student Loan Debt:</t>
  </si>
  <si>
    <t>Spouse's Loan Debt:</t>
  </si>
  <si>
    <t>Total Monthly Payment:</t>
  </si>
  <si>
    <t>Total Debt:</t>
  </si>
  <si>
    <t>Student Payment:</t>
  </si>
  <si>
    <t xml:space="preserve">Spouse Payment: </t>
  </si>
  <si>
    <t>Monthly Payment Allocation</t>
  </si>
  <si>
    <t>Total:</t>
  </si>
  <si>
    <t>Loan Type</t>
  </si>
  <si>
    <t>Balance</t>
  </si>
  <si>
    <t>% of Debt</t>
  </si>
  <si>
    <t>Subsidized:</t>
  </si>
  <si>
    <t>Unsubsidized:</t>
  </si>
  <si>
    <t>Grad PLUS:</t>
  </si>
  <si>
    <t>Avg Interest Rate</t>
  </si>
  <si>
    <t>Monthly Interest Accrued</t>
  </si>
  <si>
    <t>Remaining Interest</t>
  </si>
  <si>
    <t>Monthly Forgiveness</t>
  </si>
  <si>
    <t>Repayment Plan:</t>
  </si>
  <si>
    <t>REPAYE</t>
  </si>
  <si>
    <t>Years in repayment:</t>
  </si>
  <si>
    <t>N/A</t>
  </si>
  <si>
    <t>PAYE</t>
  </si>
  <si>
    <t>IBR</t>
  </si>
  <si>
    <t>ICR</t>
  </si>
  <si>
    <t>Payment Allocation*</t>
  </si>
  <si>
    <t>Monthly Discretionary Income:</t>
  </si>
  <si>
    <t>% of Discretionary Income:</t>
  </si>
  <si>
    <t>Year 1    Monthly Payment Calculator</t>
  </si>
  <si>
    <t>Year 2    Monthly Payment Calculator</t>
  </si>
  <si>
    <t>Annual Forgiveness/Savings:</t>
  </si>
  <si>
    <t>Sub Pay</t>
  </si>
  <si>
    <t>Unsub Pay</t>
  </si>
  <si>
    <t>Grad PLUS Pay</t>
  </si>
  <si>
    <t>PLUS Pay</t>
  </si>
  <si>
    <t>Estimated Standard Payment:</t>
  </si>
  <si>
    <t>Year 3    Monthly Payment Calculator</t>
  </si>
  <si>
    <t xml:space="preserve"> </t>
  </si>
  <si>
    <t>Year 4    Monthly Payment Calculator</t>
  </si>
  <si>
    <t>Actual Payment</t>
  </si>
  <si>
    <t>Amt Applied to Principal</t>
  </si>
  <si>
    <t>Annual Principal Reduction:</t>
  </si>
  <si>
    <t>Total Additional Principal:</t>
  </si>
  <si>
    <t>Year 5    Monthly Payment Calculator</t>
  </si>
  <si>
    <t>Tax Return Year:</t>
  </si>
  <si>
    <t>Payment Amount Effective:</t>
  </si>
  <si>
    <t>Graduation Date:</t>
  </si>
  <si>
    <t>Adjusted Gross Income from Taxes:</t>
  </si>
  <si>
    <t>Year 6    Monthly Payment Calculator</t>
  </si>
  <si>
    <t>ICR 12 Yr Payment:</t>
  </si>
  <si>
    <t xml:space="preserve">Private Loan: </t>
  </si>
  <si>
    <t>Servicer:</t>
  </si>
  <si>
    <t>2025 POVERTY GUIDELINES FOR THE 48 CONTIGUOUS STATES AND THE DISTRICT OF COLUMBIA</t>
  </si>
  <si>
    <t>For families/households with more than 8 persons, add $5,500 for each additional person.</t>
  </si>
  <si>
    <t>Year 7    Monthly Payment Calculator</t>
  </si>
  <si>
    <t>PAYE/New IBR Eligible?:</t>
  </si>
  <si>
    <t>25 Year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</si>
</sst>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_);[Red]\(&quot;$&quot;#,##0.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9" fontId="0" fillId="0" borderId="0" xfId="2" applyFont="1"/>
    <xf numFmtId="9" fontId="5" fillId="0" borderId="0" xfId="2" applyFont="1" applyFill="1"/>
    <xf numFmtId="6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6" fontId="4" fillId="0" borderId="0" xfId="0" applyNumberFormat="1" applyFont="1"/>
    <xf numFmtId="164" fontId="0" fillId="0" borderId="0" xfId="2" applyNumberFormat="1" applyFont="1"/>
    <xf numFmtId="164" fontId="4" fillId="0" borderId="0" xfId="0" applyNumberFormat="1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64" fontId="4" fillId="0" borderId="2" xfId="0" applyNumberFormat="1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164" fontId="0" fillId="0" borderId="3" xfId="0" applyNumberFormat="1" applyBorder="1"/>
    <xf numFmtId="164" fontId="0" fillId="0" borderId="3" xfId="0" applyNumberFormat="1" applyBorder="1" applyAlignment="1">
      <alignment horizontal="right"/>
    </xf>
    <xf numFmtId="0" fontId="0" fillId="3" borderId="0" xfId="0" applyFill="1" applyProtection="1">
      <protection locked="0"/>
    </xf>
    <xf numFmtId="6" fontId="0" fillId="3" borderId="0" xfId="0" applyNumberFormat="1" applyFill="1" applyProtection="1">
      <protection locked="0"/>
    </xf>
    <xf numFmtId="164" fontId="0" fillId="3" borderId="0" xfId="0" applyNumberFormat="1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0" fontId="0" fillId="3" borderId="0" xfId="2" applyNumberFormat="1" applyFont="1" applyFill="1" applyProtection="1">
      <protection locked="0"/>
    </xf>
    <xf numFmtId="164" fontId="0" fillId="4" borderId="0" xfId="0" applyNumberForma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0" fillId="0" borderId="0" xfId="2" applyNumberFormat="1" applyFont="1" applyAlignment="1">
      <alignment horizontal="right"/>
    </xf>
    <xf numFmtId="0" fontId="0" fillId="5" borderId="0" xfId="0" applyFill="1" applyProtection="1">
      <protection locked="0"/>
    </xf>
    <xf numFmtId="0" fontId="6" fillId="0" borderId="0" xfId="0" applyFont="1"/>
    <xf numFmtId="164" fontId="4" fillId="4" borderId="0" xfId="0" applyNumberFormat="1" applyFont="1" applyFill="1"/>
    <xf numFmtId="6" fontId="0" fillId="6" borderId="0" xfId="0" applyNumberFormat="1" applyFill="1" applyAlignment="1">
      <alignment horizontal="right" indent="1"/>
    </xf>
    <xf numFmtId="164" fontId="4" fillId="3" borderId="0" xfId="1" applyNumberFormat="1" applyFont="1" applyFill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" fontId="0" fillId="5" borderId="0" xfId="0" applyNumberFormat="1" applyFill="1" applyProtection="1">
      <protection locked="0"/>
    </xf>
    <xf numFmtId="17" fontId="0" fillId="0" borderId="0" xfId="0" applyNumberFormat="1"/>
    <xf numFmtId="6" fontId="0" fillId="0" borderId="0" xfId="0" applyNumberFormat="1" applyAlignment="1">
      <alignment horizontal="right" indent="1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14" fontId="0" fillId="3" borderId="0" xfId="0" applyNumberFormat="1" applyFill="1" applyAlignment="1" applyProtection="1">
      <alignment vertical="center"/>
      <protection locked="0"/>
    </xf>
    <xf numFmtId="8" fontId="8" fillId="0" borderId="0" xfId="0" applyNumberFormat="1" applyFont="1"/>
    <xf numFmtId="0" fontId="8" fillId="0" borderId="0" xfId="0" applyFont="1"/>
    <xf numFmtId="165" fontId="8" fillId="0" borderId="0" xfId="0" applyNumberFormat="1" applyFont="1"/>
    <xf numFmtId="0" fontId="9" fillId="0" borderId="0" xfId="0" applyFont="1"/>
    <xf numFmtId="6" fontId="0" fillId="7" borderId="0" xfId="0" applyNumberFormat="1" applyFill="1"/>
    <xf numFmtId="164" fontId="0" fillId="7" borderId="0" xfId="2" applyNumberFormat="1" applyFont="1" applyFill="1"/>
    <xf numFmtId="8" fontId="5" fillId="0" borderId="0" xfId="0" applyNumberFormat="1" applyFont="1"/>
    <xf numFmtId="8" fontId="0" fillId="0" borderId="0" xfId="0" applyNumberFormat="1"/>
    <xf numFmtId="0" fontId="2" fillId="0" borderId="1" xfId="0" applyFont="1" applyBorder="1" applyAlignment="1">
      <alignment horizontal="center"/>
    </xf>
    <xf numFmtId="5" fontId="2" fillId="0" borderId="1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6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 wrapText="1"/>
    </xf>
  </cellXfs>
  <cellStyles count="3">
    <cellStyle name="Currency" xfId="1" builtinId="4"/>
    <cellStyle name="Normal" xfId="0" builtinId="0"/>
    <cellStyle name="Percent" xfId="2" builtinId="5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workbookViewId="0">
      <selection activeCell="A4" sqref="A4:C4"/>
    </sheetView>
  </sheetViews>
  <sheetFormatPr defaultColWidth="9.140625" defaultRowHeight="13.5" x14ac:dyDescent="0.2"/>
  <cols>
    <col min="1" max="1" width="9.140625" style="1"/>
    <col min="2" max="2" width="13.42578125" style="1" customWidth="1"/>
    <col min="3" max="8" width="9.140625" style="1"/>
    <col min="9" max="9" width="11.28515625" style="1" customWidth="1"/>
    <col min="10" max="16384" width="9.140625" style="1"/>
  </cols>
  <sheetData>
    <row r="1" spans="1:9" ht="39" customHeight="1" x14ac:dyDescent="0.2">
      <c r="A1" s="52" t="s">
        <v>57</v>
      </c>
      <c r="B1" s="52"/>
      <c r="C1" s="52"/>
      <c r="D1" s="52"/>
      <c r="E1" s="52"/>
      <c r="F1" s="52"/>
      <c r="G1" s="52"/>
      <c r="H1" s="52"/>
      <c r="I1" s="52"/>
    </row>
    <row r="2" spans="1:9" s="2" customFormat="1" ht="50.25" customHeight="1" x14ac:dyDescent="0.25">
      <c r="A2" s="53" t="s">
        <v>0</v>
      </c>
      <c r="B2" s="53"/>
      <c r="C2" s="53"/>
      <c r="D2" s="53" t="s">
        <v>1</v>
      </c>
      <c r="E2" s="53"/>
      <c r="F2" s="53"/>
      <c r="G2" s="53" t="s">
        <v>2</v>
      </c>
      <c r="H2" s="53"/>
      <c r="I2" s="53"/>
    </row>
    <row r="3" spans="1:9" s="2" customFormat="1" ht="36.75" customHeight="1" x14ac:dyDescent="0.25">
      <c r="A3" s="54" t="s">
        <v>58</v>
      </c>
      <c r="B3" s="54"/>
      <c r="C3" s="54"/>
      <c r="D3" s="54"/>
      <c r="E3" s="54"/>
      <c r="F3" s="54"/>
      <c r="G3" s="54"/>
      <c r="H3" s="54"/>
      <c r="I3" s="54"/>
    </row>
    <row r="4" spans="1:9" ht="30" customHeight="1" x14ac:dyDescent="0.2">
      <c r="A4" s="50">
        <v>1</v>
      </c>
      <c r="B4" s="50"/>
      <c r="C4" s="50"/>
      <c r="D4" s="51">
        <v>15650</v>
      </c>
      <c r="E4" s="51"/>
      <c r="F4" s="51"/>
      <c r="G4" s="51">
        <f t="shared" ref="G4:G11" si="0">D4*1.5</f>
        <v>23475</v>
      </c>
      <c r="H4" s="51"/>
      <c r="I4" s="51"/>
    </row>
    <row r="5" spans="1:9" ht="30" customHeight="1" x14ac:dyDescent="0.2">
      <c r="A5" s="50">
        <v>2</v>
      </c>
      <c r="B5" s="50"/>
      <c r="C5" s="50"/>
      <c r="D5" s="51">
        <v>21150</v>
      </c>
      <c r="E5" s="51"/>
      <c r="F5" s="51"/>
      <c r="G5" s="51">
        <f t="shared" si="0"/>
        <v>31725</v>
      </c>
      <c r="H5" s="51"/>
      <c r="I5" s="51"/>
    </row>
    <row r="6" spans="1:9" ht="30" customHeight="1" x14ac:dyDescent="0.2">
      <c r="A6" s="50">
        <v>3</v>
      </c>
      <c r="B6" s="50"/>
      <c r="C6" s="50"/>
      <c r="D6" s="51">
        <v>26650</v>
      </c>
      <c r="E6" s="51"/>
      <c r="F6" s="51"/>
      <c r="G6" s="51">
        <f t="shared" si="0"/>
        <v>39975</v>
      </c>
      <c r="H6" s="51"/>
      <c r="I6" s="51"/>
    </row>
    <row r="7" spans="1:9" ht="30" customHeight="1" x14ac:dyDescent="0.2">
      <c r="A7" s="50">
        <v>4</v>
      </c>
      <c r="B7" s="50"/>
      <c r="C7" s="50"/>
      <c r="D7" s="51">
        <v>32150</v>
      </c>
      <c r="E7" s="51"/>
      <c r="F7" s="51"/>
      <c r="G7" s="51">
        <f t="shared" si="0"/>
        <v>48225</v>
      </c>
      <c r="H7" s="51"/>
      <c r="I7" s="51"/>
    </row>
    <row r="8" spans="1:9" ht="30" customHeight="1" x14ac:dyDescent="0.2">
      <c r="A8" s="50">
        <v>5</v>
      </c>
      <c r="B8" s="50"/>
      <c r="C8" s="50"/>
      <c r="D8" s="51">
        <v>37650</v>
      </c>
      <c r="E8" s="51"/>
      <c r="F8" s="51"/>
      <c r="G8" s="51">
        <f t="shared" si="0"/>
        <v>56475</v>
      </c>
      <c r="H8" s="51"/>
      <c r="I8" s="51"/>
    </row>
    <row r="9" spans="1:9" ht="30" customHeight="1" x14ac:dyDescent="0.2">
      <c r="A9" s="50">
        <v>6</v>
      </c>
      <c r="B9" s="50"/>
      <c r="C9" s="50"/>
      <c r="D9" s="51">
        <v>43150</v>
      </c>
      <c r="E9" s="51"/>
      <c r="F9" s="51"/>
      <c r="G9" s="51">
        <f t="shared" si="0"/>
        <v>64725</v>
      </c>
      <c r="H9" s="51"/>
      <c r="I9" s="51"/>
    </row>
    <row r="10" spans="1:9" ht="30" customHeight="1" x14ac:dyDescent="0.2">
      <c r="A10" s="50">
        <v>7</v>
      </c>
      <c r="B10" s="50"/>
      <c r="C10" s="50"/>
      <c r="D10" s="51">
        <v>48650</v>
      </c>
      <c r="E10" s="51"/>
      <c r="F10" s="51"/>
      <c r="G10" s="51">
        <f t="shared" si="0"/>
        <v>72975</v>
      </c>
      <c r="H10" s="51"/>
      <c r="I10" s="51"/>
    </row>
    <row r="11" spans="1:9" ht="30" customHeight="1" x14ac:dyDescent="0.2">
      <c r="A11" s="50">
        <v>8</v>
      </c>
      <c r="B11" s="50"/>
      <c r="C11" s="50"/>
      <c r="D11" s="51">
        <v>54150</v>
      </c>
      <c r="E11" s="51"/>
      <c r="F11" s="51"/>
      <c r="G11" s="51">
        <f t="shared" si="0"/>
        <v>81225</v>
      </c>
      <c r="H11" s="51"/>
      <c r="I11" s="51"/>
    </row>
  </sheetData>
  <mergeCells count="29">
    <mergeCell ref="A11:C11"/>
    <mergeCell ref="A1:I1"/>
    <mergeCell ref="A7:C7"/>
    <mergeCell ref="D2:F2"/>
    <mergeCell ref="G2:I2"/>
    <mergeCell ref="D4:F4"/>
    <mergeCell ref="D5:F5"/>
    <mergeCell ref="D6:F6"/>
    <mergeCell ref="D7:F7"/>
    <mergeCell ref="A3:I3"/>
    <mergeCell ref="A2:C2"/>
    <mergeCell ref="A4:C4"/>
    <mergeCell ref="A5:C5"/>
    <mergeCell ref="A6:C6"/>
    <mergeCell ref="D10:F10"/>
    <mergeCell ref="D11:F11"/>
    <mergeCell ref="G11:I11"/>
    <mergeCell ref="D8:F8"/>
    <mergeCell ref="D9:F9"/>
    <mergeCell ref="G4:I4"/>
    <mergeCell ref="G5:I5"/>
    <mergeCell ref="G6:I6"/>
    <mergeCell ref="G7:I7"/>
    <mergeCell ref="G8:I8"/>
    <mergeCell ref="A8:C8"/>
    <mergeCell ref="A9:C9"/>
    <mergeCell ref="A10:C10"/>
    <mergeCell ref="G9:I9"/>
    <mergeCell ref="G10:I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71"/>
  <sheetViews>
    <sheetView tabSelected="1" zoomScale="220" zoomScaleNormal="220" workbookViewId="0">
      <selection activeCell="F4" sqref="F4"/>
    </sheetView>
  </sheetViews>
  <sheetFormatPr defaultRowHeight="15" x14ac:dyDescent="0.25"/>
  <cols>
    <col min="1" max="1" width="31.85546875" customWidth="1"/>
    <col min="2" max="2" width="12.140625" customWidth="1"/>
    <col min="3" max="3" width="1.140625" hidden="1" customWidth="1"/>
    <col min="4" max="4" width="4.28515625" hidden="1" customWidth="1"/>
    <col min="5" max="5" width="18" customWidth="1"/>
    <col min="6" max="6" width="12" customWidth="1"/>
    <col min="7" max="7" width="13.28515625" customWidth="1"/>
    <col min="8" max="8" width="10.7109375" customWidth="1"/>
    <col min="9" max="9" width="17" customWidth="1"/>
    <col min="10" max="10" width="17" style="43" hidden="1" customWidth="1"/>
    <col min="11" max="11" width="16.140625" style="17" customWidth="1"/>
    <col min="12" max="12" width="12.7109375" style="17" customWidth="1"/>
    <col min="13" max="13" width="11.42578125" style="17" customWidth="1"/>
    <col min="14" max="19" width="9.140625" style="17"/>
  </cols>
  <sheetData>
    <row r="1" spans="1:15" ht="18.75" x14ac:dyDescent="0.25">
      <c r="A1" s="26" t="s">
        <v>33</v>
      </c>
      <c r="B1" s="26"/>
      <c r="C1" s="26"/>
      <c r="D1" s="27"/>
      <c r="E1" s="29" t="s">
        <v>49</v>
      </c>
      <c r="F1" s="29">
        <v>2024</v>
      </c>
      <c r="G1" t="s">
        <v>56</v>
      </c>
      <c r="H1" s="55"/>
      <c r="I1" s="55"/>
      <c r="J1" s="42">
        <f>-PMT(E17/12,120,B17)</f>
        <v>0</v>
      </c>
    </row>
    <row r="2" spans="1:15" ht="15" customHeight="1" x14ac:dyDescent="0.25">
      <c r="A2" s="39" t="s">
        <v>51</v>
      </c>
      <c r="B2" s="41">
        <v>45751</v>
      </c>
      <c r="C2" s="26"/>
      <c r="D2" s="27"/>
      <c r="E2" s="40"/>
      <c r="F2" s="40"/>
      <c r="G2" s="61" t="s">
        <v>60</v>
      </c>
      <c r="H2" s="62"/>
      <c r="I2" s="62"/>
      <c r="J2" s="42"/>
    </row>
    <row r="3" spans="1:15" x14ac:dyDescent="0.25">
      <c r="A3" t="s">
        <v>3</v>
      </c>
      <c r="B3" s="20">
        <v>1</v>
      </c>
      <c r="E3" t="s">
        <v>5</v>
      </c>
      <c r="F3" s="5">
        <f>B21</f>
        <v>502666</v>
      </c>
      <c r="G3" s="61"/>
      <c r="H3" s="62"/>
      <c r="I3" s="62"/>
      <c r="J3" s="42">
        <f>-PMT(E18/12,120,B18)</f>
        <v>2098.3656866695387</v>
      </c>
      <c r="L3" s="4"/>
      <c r="O3" s="17" t="s">
        <v>24</v>
      </c>
    </row>
    <row r="4" spans="1:15" x14ac:dyDescent="0.25">
      <c r="A4" t="s">
        <v>52</v>
      </c>
      <c r="B4" s="21">
        <v>0</v>
      </c>
      <c r="E4" t="s">
        <v>6</v>
      </c>
      <c r="F4" s="21">
        <v>0</v>
      </c>
      <c r="G4" s="63"/>
      <c r="H4" s="63"/>
      <c r="I4" s="17" t="s">
        <v>39</v>
      </c>
      <c r="J4" s="42">
        <f>-PMT(E19/12,120,B19)</f>
        <v>4013.5317696005905</v>
      </c>
      <c r="L4" s="4"/>
      <c r="O4" s="17" t="s">
        <v>27</v>
      </c>
    </row>
    <row r="5" spans="1:15" x14ac:dyDescent="0.25">
      <c r="A5" t="s">
        <v>4</v>
      </c>
      <c r="B5" s="5">
        <f>VLOOKUP(B3,'Poverty Guidelines'!A4:I11,7,FALSE)</f>
        <v>23475</v>
      </c>
      <c r="E5" s="8" t="s">
        <v>8</v>
      </c>
      <c r="F5" s="9">
        <f>F3+F4</f>
        <v>502666</v>
      </c>
      <c r="I5" s="17" t="s">
        <v>39</v>
      </c>
      <c r="J5" s="42">
        <f>-PMT(E20/12,120,B20)</f>
        <v>0</v>
      </c>
      <c r="L5" s="4"/>
      <c r="O5" s="17" t="s">
        <v>28</v>
      </c>
    </row>
    <row r="6" spans="1:15" hidden="1" x14ac:dyDescent="0.25">
      <c r="A6" t="s">
        <v>31</v>
      </c>
      <c r="B6" s="5">
        <f>IF(((B4-B5)&lt;0), 0, ((B4-B5)/12))</f>
        <v>0</v>
      </c>
      <c r="I6" s="17"/>
      <c r="O6" s="17" t="s">
        <v>29</v>
      </c>
    </row>
    <row r="7" spans="1:15" x14ac:dyDescent="0.25">
      <c r="A7" t="s">
        <v>32</v>
      </c>
      <c r="B7" s="28" t="str">
        <f>IF(B14="IBR", "10%",IF(B14="ICR", "20%", "10%"))</f>
        <v>10%</v>
      </c>
      <c r="I7" s="17"/>
    </row>
    <row r="8" spans="1:15" x14ac:dyDescent="0.25">
      <c r="A8" t="s">
        <v>7</v>
      </c>
      <c r="B8" s="46">
        <f>IF(B14&lt;&gt;"ICR",B6*B7,(MIN(J14:J15)))</f>
        <v>0</v>
      </c>
      <c r="G8" t="s">
        <v>42</v>
      </c>
      <c r="I8" s="17"/>
      <c r="J8" s="42">
        <f>-PMT(E17/12,120,B17)</f>
        <v>0</v>
      </c>
    </row>
    <row r="9" spans="1:15" ht="14.25" customHeight="1" x14ac:dyDescent="0.25">
      <c r="B9" s="5"/>
      <c r="I9" s="17"/>
      <c r="J9" s="42">
        <f>-PMT(E18/12,144,B18)</f>
        <v>1864.0301982717285</v>
      </c>
    </row>
    <row r="10" spans="1:15" x14ac:dyDescent="0.25">
      <c r="A10" t="s">
        <v>9</v>
      </c>
      <c r="B10" s="10">
        <f>(F3/F5)*B8</f>
        <v>0</v>
      </c>
      <c r="E10" s="56" t="s">
        <v>50</v>
      </c>
      <c r="F10" s="56"/>
      <c r="G10" s="37">
        <f>B2+250</f>
        <v>46001</v>
      </c>
      <c r="H10" s="37">
        <f>G10+335</f>
        <v>46336</v>
      </c>
      <c r="I10" s="17" t="s">
        <v>42</v>
      </c>
      <c r="J10" s="42">
        <f>-PMT(E19/12,144,B19)</f>
        <v>3590.856359837187</v>
      </c>
      <c r="K10" t="s">
        <v>61</v>
      </c>
    </row>
    <row r="11" spans="1:15" x14ac:dyDescent="0.25">
      <c r="A11" t="s">
        <v>10</v>
      </c>
      <c r="B11" s="10">
        <f>(F4/F5)*B8</f>
        <v>0</v>
      </c>
      <c r="I11" s="17"/>
      <c r="K11" s="49">
        <f>SUM(K12:K15)</f>
        <v>4818.3507299884977</v>
      </c>
      <c r="L11" s="45"/>
    </row>
    <row r="12" spans="1:15" x14ac:dyDescent="0.25">
      <c r="B12" s="10"/>
      <c r="G12" t="s">
        <v>42</v>
      </c>
      <c r="I12" s="17"/>
      <c r="K12" s="48">
        <f>-PMT(E17/12,180,B17)</f>
        <v>0</v>
      </c>
      <c r="L12" s="45"/>
    </row>
    <row r="13" spans="1:15" ht="15" customHeight="1" x14ac:dyDescent="0.25">
      <c r="A13" s="57" t="s">
        <v>11</v>
      </c>
      <c r="B13" s="57"/>
      <c r="C13" s="57"/>
      <c r="D13" s="57"/>
      <c r="E13" s="57"/>
      <c r="F13" s="58" t="s">
        <v>40</v>
      </c>
      <c r="G13" s="58"/>
      <c r="J13" s="43" t="s">
        <v>54</v>
      </c>
      <c r="K13" s="48">
        <f>-PMT(E18/12,180,B18)</f>
        <v>1635.8923992398084</v>
      </c>
    </row>
    <row r="14" spans="1:15" x14ac:dyDescent="0.25">
      <c r="A14" s="7" t="s">
        <v>23</v>
      </c>
      <c r="B14" s="23" t="s">
        <v>28</v>
      </c>
      <c r="C14" s="16"/>
      <c r="D14" s="16"/>
      <c r="E14" s="34"/>
      <c r="F14" s="58"/>
      <c r="G14" s="58"/>
      <c r="H14" s="32">
        <f>SUM(J1:J5)</f>
        <v>6111.8974562701296</v>
      </c>
      <c r="I14" t="s">
        <v>42</v>
      </c>
      <c r="J14" s="42">
        <f>SUM(J8:J10)</f>
        <v>5454.8865581089158</v>
      </c>
      <c r="K14" s="48">
        <f>-PMT(E19/12,180,B19)</f>
        <v>3182.4583307486891</v>
      </c>
    </row>
    <row r="15" spans="1:15" x14ac:dyDescent="0.25">
      <c r="A15" s="7" t="s">
        <v>25</v>
      </c>
      <c r="B15" s="23">
        <v>0</v>
      </c>
      <c r="C15" s="16"/>
      <c r="D15" s="16"/>
      <c r="E15" s="16"/>
      <c r="I15" s="45"/>
      <c r="J15" s="44">
        <f>B6*0.2</f>
        <v>0</v>
      </c>
      <c r="K15" s="48">
        <f>-PMT(E20/12,300,B20)</f>
        <v>0</v>
      </c>
    </row>
    <row r="16" spans="1:15" ht="45.75" customHeight="1" x14ac:dyDescent="0.25">
      <c r="A16" s="13" t="s">
        <v>13</v>
      </c>
      <c r="B16" s="16" t="s">
        <v>14</v>
      </c>
      <c r="C16" s="12" t="s">
        <v>15</v>
      </c>
      <c r="D16" s="12"/>
      <c r="E16" s="12" t="s">
        <v>19</v>
      </c>
      <c r="F16" s="12" t="s">
        <v>20</v>
      </c>
      <c r="G16" s="12" t="s">
        <v>30</v>
      </c>
      <c r="H16" s="12" t="s">
        <v>21</v>
      </c>
      <c r="I16" s="12" t="s">
        <v>22</v>
      </c>
      <c r="L16" s="17" t="s">
        <v>42</v>
      </c>
      <c r="M16"/>
      <c r="N16"/>
      <c r="O16"/>
    </row>
    <row r="17" spans="1:15" x14ac:dyDescent="0.25">
      <c r="A17" s="7" t="s">
        <v>16</v>
      </c>
      <c r="B17" s="22">
        <v>0</v>
      </c>
      <c r="C17" s="3">
        <f>B17/B21</f>
        <v>0</v>
      </c>
      <c r="D17" s="3"/>
      <c r="E17" s="24">
        <v>0.05</v>
      </c>
      <c r="F17" s="6">
        <f>B17*E17/12</f>
        <v>0</v>
      </c>
      <c r="G17" s="6">
        <f>$B$10*C17</f>
        <v>0</v>
      </c>
      <c r="H17" s="6">
        <f>IF((F17-G17&gt;0), (F17-G17), 0)</f>
        <v>0</v>
      </c>
      <c r="I17" s="14">
        <f>IF(AND(B14="REPAYE",B15&gt;3,),(H17/2),IF(AND(B14="REPAYE",B15&lt;3.1),H17,IF(AND(B14="PAYE",B15&lt;3),H17,IF(B14="ICR",0,IF(AND(B14="IBR",B15&lt;3),H17,IF(AND(B14="REPAYE",B15&gt;3),H17/2,"$0"))))))</f>
        <v>0</v>
      </c>
      <c r="K17"/>
      <c r="L17" t="s">
        <v>42</v>
      </c>
      <c r="M17"/>
      <c r="N17"/>
      <c r="O17"/>
    </row>
    <row r="18" spans="1:15" x14ac:dyDescent="0.25">
      <c r="A18" s="7" t="s">
        <v>17</v>
      </c>
      <c r="B18" s="22">
        <v>177556</v>
      </c>
      <c r="C18" s="3">
        <f>B18/B21</f>
        <v>0.35322858518379996</v>
      </c>
      <c r="D18" s="3"/>
      <c r="E18" s="24">
        <v>7.3999999999999996E-2</v>
      </c>
      <c r="F18" s="6">
        <f>B18*E18/12</f>
        <v>1094.9286666666667</v>
      </c>
      <c r="G18" s="6">
        <f>$B$10*C18</f>
        <v>0</v>
      </c>
      <c r="H18" s="6">
        <f>IF((F18-G18&gt;0), (F18-G18), 0)</f>
        <v>1094.9286666666667</v>
      </c>
      <c r="I18" s="6">
        <f>IF((B14="REPAYE"),(H18/2),0)</f>
        <v>0</v>
      </c>
      <c r="K18"/>
      <c r="L18"/>
      <c r="M18"/>
      <c r="N18" t="s">
        <v>42</v>
      </c>
      <c r="O18"/>
    </row>
    <row r="19" spans="1:15" x14ac:dyDescent="0.25">
      <c r="A19" s="7" t="s">
        <v>18</v>
      </c>
      <c r="B19" s="22">
        <v>325110</v>
      </c>
      <c r="C19" s="3">
        <f>B19/B21</f>
        <v>0.64677141481620004</v>
      </c>
      <c r="D19" s="3"/>
      <c r="E19" s="24">
        <v>8.4000000000000005E-2</v>
      </c>
      <c r="F19" s="6">
        <f>B19*E19/12</f>
        <v>2275.77</v>
      </c>
      <c r="G19" s="6">
        <f>$B$10*C19</f>
        <v>0</v>
      </c>
      <c r="H19" s="6">
        <f>IF((F19-G19&gt;0), (F19-G19), 0)</f>
        <v>2275.77</v>
      </c>
      <c r="I19" s="6">
        <f>IF((B14="REPAYE"),(H19/2),0)</f>
        <v>0</v>
      </c>
      <c r="K19"/>
      <c r="L19" s="60" t="s">
        <v>45</v>
      </c>
      <c r="M19"/>
      <c r="N19"/>
      <c r="O19"/>
    </row>
    <row r="20" spans="1:15" ht="15.75" thickBot="1" x14ac:dyDescent="0.3">
      <c r="A20" s="7" t="s">
        <v>55</v>
      </c>
      <c r="B20" s="22">
        <v>0</v>
      </c>
      <c r="C20" s="3">
        <f>B20/B21</f>
        <v>0</v>
      </c>
      <c r="D20" s="3"/>
      <c r="E20" s="24">
        <v>7.2999999999999995E-2</v>
      </c>
      <c r="F20" s="18">
        <v>0</v>
      </c>
      <c r="G20" s="18">
        <f>$B$10*C20</f>
        <v>0</v>
      </c>
      <c r="H20" s="19" t="s">
        <v>26</v>
      </c>
      <c r="I20" s="19" t="s">
        <v>26</v>
      </c>
      <c r="K20" s="30" t="s">
        <v>44</v>
      </c>
      <c r="L20" s="60"/>
      <c r="M20"/>
      <c r="N20"/>
      <c r="O20"/>
    </row>
    <row r="21" spans="1:15" ht="15.75" thickBot="1" x14ac:dyDescent="0.3">
      <c r="A21" s="8" t="s">
        <v>12</v>
      </c>
      <c r="B21" s="11">
        <f>SUM(B17:B20)</f>
        <v>502666</v>
      </c>
      <c r="F21" s="11">
        <f>SUM(F17:F20)</f>
        <v>3370.6986666666667</v>
      </c>
      <c r="G21" s="11">
        <f>SUM(G17:G20)</f>
        <v>0</v>
      </c>
      <c r="H21" s="11">
        <f>SUM(H17:H20)</f>
        <v>3370.6986666666667</v>
      </c>
      <c r="I21" s="15">
        <f>SUM(I17:I20)</f>
        <v>0</v>
      </c>
      <c r="K21" s="33">
        <v>0</v>
      </c>
      <c r="L21" s="11">
        <f>IF(AND(K21&gt;0,G21&gt;=F21),((G21-F21)+(K21-G21-(H21-I21))), IF(AND(K21&gt;0,G21&lt;F21),(K21-G21-(H21-I21)),0))</f>
        <v>0</v>
      </c>
      <c r="M21"/>
      <c r="N21"/>
      <c r="O21"/>
    </row>
    <row r="22" spans="1:15" ht="15.75" thickTop="1" x14ac:dyDescent="0.25">
      <c r="E22" t="s">
        <v>42</v>
      </c>
    </row>
    <row r="23" spans="1:15" x14ac:dyDescent="0.25">
      <c r="G23" s="59" t="s">
        <v>35</v>
      </c>
      <c r="H23" s="59"/>
      <c r="I23" s="25">
        <f>I21*12</f>
        <v>0</v>
      </c>
      <c r="K23" s="59" t="s">
        <v>46</v>
      </c>
      <c r="L23" s="31">
        <f>L21*12</f>
        <v>0</v>
      </c>
      <c r="M23"/>
    </row>
    <row r="24" spans="1:15" x14ac:dyDescent="0.25">
      <c r="F24" s="7"/>
      <c r="G24" s="59"/>
      <c r="H24" s="59"/>
      <c r="I24" s="6"/>
      <c r="K24" s="59"/>
    </row>
    <row r="25" spans="1:15" x14ac:dyDescent="0.25">
      <c r="F25" s="7"/>
      <c r="G25" s="7"/>
      <c r="H25" s="7"/>
      <c r="I25" s="6"/>
    </row>
    <row r="26" spans="1:15" ht="18.75" x14ac:dyDescent="0.25">
      <c r="A26" s="26" t="s">
        <v>34</v>
      </c>
      <c r="B26" s="26"/>
      <c r="C26" s="26"/>
      <c r="D26" s="26"/>
      <c r="E26" s="29" t="s">
        <v>49</v>
      </c>
      <c r="F26" s="29">
        <f>F1+1</f>
        <v>2025</v>
      </c>
      <c r="I26" s="17" t="s">
        <v>36</v>
      </c>
      <c r="J26" s="42">
        <f>-PMT(E41/12,120,B41)</f>
        <v>0</v>
      </c>
      <c r="K26" s="59" t="s">
        <v>47</v>
      </c>
      <c r="L26" s="11">
        <f>L23</f>
        <v>0</v>
      </c>
    </row>
    <row r="27" spans="1:15" x14ac:dyDescent="0.25">
      <c r="A27" t="s">
        <v>3</v>
      </c>
      <c r="B27" s="20">
        <f>B3</f>
        <v>1</v>
      </c>
      <c r="E27" t="s">
        <v>5</v>
      </c>
      <c r="F27" s="5">
        <f>B45</f>
        <v>502666</v>
      </c>
      <c r="I27" s="17" t="s">
        <v>37</v>
      </c>
      <c r="J27" s="42">
        <f>-PMT(E42/12,120,B42)</f>
        <v>2098.3656866695387</v>
      </c>
      <c r="K27" s="59"/>
    </row>
    <row r="28" spans="1:15" x14ac:dyDescent="0.25">
      <c r="A28" t="s">
        <v>52</v>
      </c>
      <c r="B28" s="21">
        <v>100000</v>
      </c>
      <c r="E28" t="s">
        <v>6</v>
      </c>
      <c r="F28" s="21">
        <f>F4</f>
        <v>0</v>
      </c>
      <c r="I28" s="17" t="s">
        <v>38</v>
      </c>
      <c r="J28" s="42">
        <f>-PMT(E43/12,120,B43)</f>
        <v>4013.5317696005905</v>
      </c>
    </row>
    <row r="29" spans="1:15" x14ac:dyDescent="0.25">
      <c r="A29" t="s">
        <v>4</v>
      </c>
      <c r="B29" s="5">
        <f>VLOOKUP(B27,'Poverty Guidelines'!A4:I11,7,FALSE)</f>
        <v>23475</v>
      </c>
      <c r="E29" s="8" t="s">
        <v>8</v>
      </c>
      <c r="F29" s="9">
        <f>F27+F28</f>
        <v>502666</v>
      </c>
      <c r="I29" s="17" t="s">
        <v>39</v>
      </c>
      <c r="J29" s="42">
        <f>-PMT(E44/12,120,B44)</f>
        <v>0</v>
      </c>
    </row>
    <row r="30" spans="1:15" hidden="1" x14ac:dyDescent="0.25">
      <c r="A30" t="s">
        <v>31</v>
      </c>
      <c r="B30" s="5">
        <f>IF(((B28-B29)&lt;0), 0, ((B28-B29)/12))</f>
        <v>6377.083333333333</v>
      </c>
    </row>
    <row r="31" spans="1:15" x14ac:dyDescent="0.25">
      <c r="A31" t="s">
        <v>32</v>
      </c>
      <c r="B31" s="28" t="str">
        <f>IF(B38="IBR", "10%",IF(B38="ICR", "20%", "10%"))</f>
        <v>10%</v>
      </c>
    </row>
    <row r="32" spans="1:15" x14ac:dyDescent="0.25">
      <c r="A32" t="s">
        <v>7</v>
      </c>
      <c r="B32" s="5">
        <f>IF(B38&lt;&gt;"ICR",B30*B31,(MIN(J38:J39)))</f>
        <v>637.70833333333337</v>
      </c>
    </row>
    <row r="33" spans="1:20" x14ac:dyDescent="0.25">
      <c r="B33" s="5"/>
    </row>
    <row r="34" spans="1:20" ht="15" customHeight="1" x14ac:dyDescent="0.25">
      <c r="A34" t="s">
        <v>9</v>
      </c>
      <c r="B34" s="47">
        <f>(F27/F29)*B32</f>
        <v>637.70833333333337</v>
      </c>
      <c r="E34" s="56" t="s">
        <v>50</v>
      </c>
      <c r="F34" s="56"/>
      <c r="G34" s="37">
        <f>H10+31</f>
        <v>46367</v>
      </c>
      <c r="H34" s="37">
        <f>G34+336</f>
        <v>46703</v>
      </c>
      <c r="J34" s="42">
        <f>-PMT(E41/12,144,B41)</f>
        <v>0</v>
      </c>
      <c r="S34" s="64"/>
    </row>
    <row r="35" spans="1:20" x14ac:dyDescent="0.25">
      <c r="A35" t="s">
        <v>10</v>
      </c>
      <c r="B35" s="10">
        <f>(F28/F29)*B32</f>
        <v>0</v>
      </c>
      <c r="J35" s="42">
        <f>-PMT(E42/12,144,B42)</f>
        <v>1864.0301982717285</v>
      </c>
      <c r="S35" s="64"/>
      <c r="T35" s="38"/>
    </row>
    <row r="36" spans="1:20" ht="17.25" customHeight="1" x14ac:dyDescent="0.25">
      <c r="B36" s="10"/>
      <c r="J36" s="42">
        <f>-PMT(E43/12,144,B43)</f>
        <v>3590.856359837187</v>
      </c>
    </row>
    <row r="37" spans="1:20" x14ac:dyDescent="0.25">
      <c r="A37" s="57" t="s">
        <v>11</v>
      </c>
      <c r="B37" s="57"/>
      <c r="C37" s="57"/>
      <c r="D37" s="57"/>
      <c r="E37" s="57"/>
      <c r="F37" s="58" t="s">
        <v>40</v>
      </c>
      <c r="G37" s="58"/>
      <c r="J37" s="43" t="s">
        <v>54</v>
      </c>
    </row>
    <row r="38" spans="1:20" x14ac:dyDescent="0.25">
      <c r="A38" s="7" t="s">
        <v>23</v>
      </c>
      <c r="B38" s="23" t="s">
        <v>28</v>
      </c>
      <c r="C38" s="16"/>
      <c r="D38" s="16"/>
      <c r="E38" s="34"/>
      <c r="F38" s="58"/>
      <c r="G38" s="58"/>
      <c r="H38" s="32">
        <f>SUM(J26:J29)</f>
        <v>6111.8974562701296</v>
      </c>
      <c r="J38" s="42">
        <f>SUM(J34:J36)</f>
        <v>5454.8865581089158</v>
      </c>
    </row>
    <row r="39" spans="1:20" x14ac:dyDescent="0.25">
      <c r="A39" s="7" t="s">
        <v>25</v>
      </c>
      <c r="B39" s="23">
        <f>B15+1</f>
        <v>1</v>
      </c>
      <c r="C39" s="16"/>
      <c r="D39" s="16"/>
      <c r="E39" s="16"/>
      <c r="J39" s="44">
        <f>B31*0.2</f>
        <v>2.0000000000000004E-2</v>
      </c>
    </row>
    <row r="40" spans="1:20" ht="42.75" customHeight="1" x14ac:dyDescent="0.25">
      <c r="A40" s="13" t="s">
        <v>13</v>
      </c>
      <c r="B40" s="16" t="s">
        <v>14</v>
      </c>
      <c r="C40" s="12" t="s">
        <v>15</v>
      </c>
      <c r="D40" s="12"/>
      <c r="E40" s="12" t="s">
        <v>19</v>
      </c>
      <c r="F40" s="12" t="s">
        <v>20</v>
      </c>
      <c r="G40" s="12" t="s">
        <v>30</v>
      </c>
      <c r="H40" s="12" t="s">
        <v>21</v>
      </c>
      <c r="I40" s="12" t="s">
        <v>22</v>
      </c>
    </row>
    <row r="41" spans="1:20" x14ac:dyDescent="0.25">
      <c r="A41" s="7" t="s">
        <v>16</v>
      </c>
      <c r="B41" s="22">
        <f>B17</f>
        <v>0</v>
      </c>
      <c r="C41" s="3">
        <f>B41/B45</f>
        <v>0</v>
      </c>
      <c r="D41" s="3"/>
      <c r="E41" s="24">
        <f>E17</f>
        <v>0.05</v>
      </c>
      <c r="F41" s="6">
        <f>B41*E41/12</f>
        <v>0</v>
      </c>
      <c r="G41" s="6">
        <f>$B$34*C41</f>
        <v>0</v>
      </c>
      <c r="H41" s="6">
        <f>IF((F41-G41&gt;0), (F41-G41), 0)</f>
        <v>0</v>
      </c>
      <c r="I41" s="14">
        <f>IF(AND(B38="REPAYE",B39&gt;3,),(H41/2),IF(AND(B38="REPAYE",B39&lt;3.1),H41,IF(AND(B38="PAYE",B39&lt;3),H41,IF(B38="ICR",0,IF(AND(B38="IBR",B39&lt;3),H41,IF(AND(B38="REPAYE",B39&gt;3),H41/2,"$0"))))))</f>
        <v>0</v>
      </c>
    </row>
    <row r="42" spans="1:20" x14ac:dyDescent="0.25">
      <c r="A42" s="7" t="s">
        <v>17</v>
      </c>
      <c r="B42" s="22">
        <f>B18</f>
        <v>177556</v>
      </c>
      <c r="C42" s="3">
        <f>B42/B45</f>
        <v>0.35322858518379996</v>
      </c>
      <c r="D42" s="3"/>
      <c r="E42" s="24">
        <f>E18</f>
        <v>7.3999999999999996E-2</v>
      </c>
      <c r="F42" s="6">
        <f>B42*E42/12</f>
        <v>1094.9286666666667</v>
      </c>
      <c r="G42" s="6">
        <f t="shared" ref="G42:G43" si="0">$B$34*C42</f>
        <v>225.25681234325245</v>
      </c>
      <c r="H42" s="6">
        <f>IF((F42-G42&gt;0), (F42-G42), 0)</f>
        <v>869.67185432341421</v>
      </c>
      <c r="I42" s="6">
        <f>IF((B38="REPAYE"),(H42/2),0)</f>
        <v>0</v>
      </c>
    </row>
    <row r="43" spans="1:20" x14ac:dyDescent="0.25">
      <c r="A43" s="7" t="s">
        <v>18</v>
      </c>
      <c r="B43" s="22">
        <f>B19</f>
        <v>325110</v>
      </c>
      <c r="C43" s="3">
        <f>B43/B45</f>
        <v>0.64677141481620004</v>
      </c>
      <c r="D43" s="3"/>
      <c r="E43" s="24">
        <f>E19</f>
        <v>8.4000000000000005E-2</v>
      </c>
      <c r="F43" s="6">
        <f>B43*E43/12</f>
        <v>2275.77</v>
      </c>
      <c r="G43" s="6">
        <f t="shared" si="0"/>
        <v>412.45152099008095</v>
      </c>
      <c r="H43" s="6">
        <f>IF((F43-G43&gt;0), (F43-G43), 0)</f>
        <v>1863.318479009919</v>
      </c>
      <c r="I43" s="6">
        <f>IF((B38="REPAYE"),(H43/2),0)</f>
        <v>0</v>
      </c>
      <c r="K43"/>
      <c r="L43" s="60" t="s">
        <v>45</v>
      </c>
    </row>
    <row r="44" spans="1:20" ht="15.75" customHeight="1" thickBot="1" x14ac:dyDescent="0.3">
      <c r="A44" s="7" t="s">
        <v>55</v>
      </c>
      <c r="B44" s="22">
        <f>B20</f>
        <v>0</v>
      </c>
      <c r="C44" s="3">
        <f>B44/B45</f>
        <v>0</v>
      </c>
      <c r="D44" s="3"/>
      <c r="E44" s="24">
        <f>E20</f>
        <v>7.2999999999999995E-2</v>
      </c>
      <c r="F44" s="18">
        <v>0</v>
      </c>
      <c r="G44" s="18">
        <v>0</v>
      </c>
      <c r="H44" s="19" t="s">
        <v>26</v>
      </c>
      <c r="I44" s="19" t="s">
        <v>26</v>
      </c>
      <c r="K44" s="30" t="s">
        <v>44</v>
      </c>
      <c r="L44" s="60"/>
    </row>
    <row r="45" spans="1:20" ht="15.75" thickBot="1" x14ac:dyDescent="0.3">
      <c r="A45" s="8" t="s">
        <v>12</v>
      </c>
      <c r="B45" s="11">
        <f>SUM(B41:B44)</f>
        <v>502666</v>
      </c>
      <c r="F45" s="11">
        <f>SUM(F41:F44)</f>
        <v>3370.6986666666667</v>
      </c>
      <c r="G45" s="11">
        <f>SUM(G41:G44)</f>
        <v>637.70833333333337</v>
      </c>
      <c r="H45" s="11">
        <f>SUM(H41:H44)</f>
        <v>2732.9903333333332</v>
      </c>
      <c r="I45" s="15">
        <f>SUM(I41:I44)</f>
        <v>0</v>
      </c>
      <c r="K45" s="33">
        <v>0</v>
      </c>
      <c r="L45" s="11">
        <f>IF(AND(K45&gt;0,G45&gt;=F45),((G45-F45)+(K45-G45-(H45-I45))), IF(AND(K45&gt;0,G45&lt;F45),(K45-G45-(H45-I45)),0))</f>
        <v>0</v>
      </c>
    </row>
    <row r="46" spans="1:20" ht="15.75" thickTop="1" x14ac:dyDescent="0.25"/>
    <row r="47" spans="1:20" x14ac:dyDescent="0.25">
      <c r="G47" s="59" t="s">
        <v>35</v>
      </c>
      <c r="H47" s="59"/>
      <c r="I47" s="25">
        <f>I45*12</f>
        <v>0</v>
      </c>
      <c r="K47" s="59" t="s">
        <v>46</v>
      </c>
      <c r="L47" s="31">
        <f>L45*12</f>
        <v>0</v>
      </c>
    </row>
    <row r="48" spans="1:20" x14ac:dyDescent="0.25">
      <c r="G48" s="59"/>
      <c r="H48" s="59"/>
      <c r="J48" s="42">
        <f>-PMT(E65/12,120,B65)</f>
        <v>0</v>
      </c>
      <c r="K48" s="59"/>
    </row>
    <row r="49" spans="1:21" x14ac:dyDescent="0.25">
      <c r="J49" s="42">
        <f>-PMT(E66/12,120,B66)</f>
        <v>2098.3656866695387</v>
      </c>
    </row>
    <row r="50" spans="1:21" ht="18.75" x14ac:dyDescent="0.25">
      <c r="A50" s="26" t="s">
        <v>41</v>
      </c>
      <c r="B50" s="26"/>
      <c r="C50" s="26"/>
      <c r="D50" s="26"/>
      <c r="E50" s="29" t="s">
        <v>49</v>
      </c>
      <c r="F50" s="29">
        <f>F26+1</f>
        <v>2026</v>
      </c>
      <c r="I50" s="17" t="s">
        <v>36</v>
      </c>
      <c r="J50" s="42">
        <f>-PMT(E67/12,120,B67)</f>
        <v>4013.5317696005905</v>
      </c>
      <c r="K50" s="59" t="s">
        <v>47</v>
      </c>
      <c r="L50" s="11">
        <f>L26+L47</f>
        <v>0</v>
      </c>
    </row>
    <row r="51" spans="1:21" x14ac:dyDescent="0.25">
      <c r="A51" t="s">
        <v>3</v>
      </c>
      <c r="B51" s="20">
        <f>B27</f>
        <v>1</v>
      </c>
      <c r="E51" t="s">
        <v>5</v>
      </c>
      <c r="F51" s="5">
        <f>B69</f>
        <v>502666</v>
      </c>
      <c r="I51" s="17" t="s">
        <v>37</v>
      </c>
      <c r="J51" s="42">
        <f>-PMT(E68/12,120,B68)</f>
        <v>0</v>
      </c>
      <c r="K51" s="59"/>
    </row>
    <row r="52" spans="1:21" x14ac:dyDescent="0.25">
      <c r="A52" t="s">
        <v>52</v>
      </c>
      <c r="B52" s="21">
        <v>250000</v>
      </c>
      <c r="E52" t="s">
        <v>6</v>
      </c>
      <c r="F52" s="21">
        <f>F28</f>
        <v>0</v>
      </c>
      <c r="I52" s="17" t="s">
        <v>38</v>
      </c>
    </row>
    <row r="53" spans="1:21" x14ac:dyDescent="0.25">
      <c r="A53" t="s">
        <v>4</v>
      </c>
      <c r="B53" s="5">
        <f>VLOOKUP(B51,'Poverty Guidelines'!$A$4:$I$11,7,FALSE)</f>
        <v>23475</v>
      </c>
      <c r="E53" s="8" t="s">
        <v>8</v>
      </c>
      <c r="F53" s="9">
        <f>F51+F52</f>
        <v>502666</v>
      </c>
      <c r="I53" s="17" t="s">
        <v>39</v>
      </c>
    </row>
    <row r="54" spans="1:21" hidden="1" x14ac:dyDescent="0.25">
      <c r="A54" t="s">
        <v>31</v>
      </c>
      <c r="B54" s="5">
        <f>IF(((B52-B53)&lt;0), 0, ((B52-B53)/12))</f>
        <v>18877.083333333332</v>
      </c>
    </row>
    <row r="55" spans="1:21" x14ac:dyDescent="0.25">
      <c r="A55" t="s">
        <v>32</v>
      </c>
      <c r="B55" s="28" t="str">
        <f>IF(B62="IBR", "10%",IF(B62="ICR", "20%", "10%"))</f>
        <v>10%</v>
      </c>
      <c r="G55" s="37"/>
      <c r="H55" s="37"/>
    </row>
    <row r="56" spans="1:21" x14ac:dyDescent="0.25">
      <c r="A56" t="s">
        <v>7</v>
      </c>
      <c r="B56" s="5">
        <f>B54*B55</f>
        <v>1887.7083333333333</v>
      </c>
    </row>
    <row r="57" spans="1:21" x14ac:dyDescent="0.25">
      <c r="B57" s="5"/>
    </row>
    <row r="58" spans="1:21" x14ac:dyDescent="0.25">
      <c r="A58" t="s">
        <v>9</v>
      </c>
      <c r="B58" s="47">
        <f>(F51/F53)*B56</f>
        <v>1887.7083333333333</v>
      </c>
      <c r="E58" s="56" t="s">
        <v>50</v>
      </c>
      <c r="F58" s="56"/>
      <c r="G58" s="37">
        <f>H34+30</f>
        <v>46733</v>
      </c>
      <c r="H58" s="37">
        <f>G58+336</f>
        <v>47069</v>
      </c>
      <c r="J58" s="42">
        <f>-PMT(E65/12,144,B65)</f>
        <v>0</v>
      </c>
      <c r="T58" s="64"/>
    </row>
    <row r="59" spans="1:21" x14ac:dyDescent="0.25">
      <c r="A59" t="s">
        <v>10</v>
      </c>
      <c r="B59" s="10">
        <f>(F52/F53)*B56</f>
        <v>0</v>
      </c>
      <c r="J59" s="42">
        <f>-PMT(E66/12,144,B66)</f>
        <v>1864.0301982717285</v>
      </c>
      <c r="T59" s="64"/>
      <c r="U59" s="38"/>
    </row>
    <row r="60" spans="1:21" x14ac:dyDescent="0.25">
      <c r="B60" s="10"/>
      <c r="J60" s="42">
        <f>-PMT(E67/12,144,B67)</f>
        <v>3590.856359837187</v>
      </c>
    </row>
    <row r="61" spans="1:21" x14ac:dyDescent="0.25">
      <c r="A61" s="57" t="s">
        <v>11</v>
      </c>
      <c r="B61" s="57"/>
      <c r="C61" s="57"/>
      <c r="D61" s="57"/>
      <c r="E61" s="57"/>
      <c r="F61" s="58" t="s">
        <v>40</v>
      </c>
      <c r="G61" s="58"/>
      <c r="J61" s="43" t="s">
        <v>54</v>
      </c>
    </row>
    <row r="62" spans="1:21" x14ac:dyDescent="0.25">
      <c r="A62" s="7" t="s">
        <v>23</v>
      </c>
      <c r="B62" s="23" t="s">
        <v>28</v>
      </c>
      <c r="C62" s="16"/>
      <c r="D62" s="16"/>
      <c r="E62" s="34"/>
      <c r="F62" s="58"/>
      <c r="G62" s="58"/>
      <c r="H62" s="32">
        <f>SUM(J48:J51)</f>
        <v>6111.8974562701296</v>
      </c>
      <c r="J62" s="42">
        <f>SUM(J58:J60)</f>
        <v>5454.8865581089158</v>
      </c>
    </row>
    <row r="63" spans="1:21" x14ac:dyDescent="0.25">
      <c r="A63" s="7" t="s">
        <v>25</v>
      </c>
      <c r="B63" s="23">
        <f>B39+1</f>
        <v>2</v>
      </c>
      <c r="C63" s="16"/>
      <c r="D63" s="16"/>
      <c r="E63" s="16"/>
      <c r="J63" s="44">
        <f>B54*0.2</f>
        <v>3775.4166666666665</v>
      </c>
    </row>
    <row r="64" spans="1:21" ht="42.75" customHeight="1" x14ac:dyDescent="0.25">
      <c r="A64" s="13" t="s">
        <v>13</v>
      </c>
      <c r="B64" s="16" t="s">
        <v>14</v>
      </c>
      <c r="C64" s="12" t="s">
        <v>15</v>
      </c>
      <c r="D64" s="12"/>
      <c r="E64" s="12" t="s">
        <v>19</v>
      </c>
      <c r="F64" s="12" t="s">
        <v>20</v>
      </c>
      <c r="G64" s="12" t="s">
        <v>30</v>
      </c>
      <c r="H64" s="12" t="s">
        <v>21</v>
      </c>
      <c r="I64" s="12" t="s">
        <v>22</v>
      </c>
    </row>
    <row r="65" spans="1:20" x14ac:dyDescent="0.25">
      <c r="A65" s="7" t="s">
        <v>16</v>
      </c>
      <c r="B65" s="22">
        <f>B41</f>
        <v>0</v>
      </c>
      <c r="C65" s="3">
        <f>B65/B69</f>
        <v>0</v>
      </c>
      <c r="D65" s="3"/>
      <c r="E65" s="24">
        <f>E41</f>
        <v>0.05</v>
      </c>
      <c r="F65" s="6">
        <f>B65*E65/12</f>
        <v>0</v>
      </c>
      <c r="G65" s="6">
        <f>$B$58*C65</f>
        <v>0</v>
      </c>
      <c r="H65" s="6">
        <f>IF((F65-G65&gt;0), (F65-G65), 0)</f>
        <v>0</v>
      </c>
      <c r="I65" s="14">
        <f>IF(AND(B62="REPAYE",B63&gt;3,),(H65/2),IF(AND(B62="REPAYE",B63&lt;3.1),H65,IF(AND(B62="PAYE",B63&lt;3),H65,IF(B62="ICR",0,IF(AND(B62="IBR",B63&lt;3),H65,IF(AND(B62="REPAYE",B63&gt;3),H65/2,"$0"))))))</f>
        <v>0</v>
      </c>
    </row>
    <row r="66" spans="1:20" x14ac:dyDescent="0.25">
      <c r="A66" s="7" t="s">
        <v>17</v>
      </c>
      <c r="B66" s="22">
        <f>IF((B43-L47&gt;=0),B42,MAX((B42:B42)+(B43-L47),0))</f>
        <v>177556</v>
      </c>
      <c r="C66" s="3">
        <f>B66/B69</f>
        <v>0.35322858518379996</v>
      </c>
      <c r="D66" s="3"/>
      <c r="E66" s="24">
        <f>E42</f>
        <v>7.3999999999999996E-2</v>
      </c>
      <c r="F66" s="6">
        <f>B66*E66/12</f>
        <v>1094.9286666666667</v>
      </c>
      <c r="G66" s="6">
        <f>$B$58*C66</f>
        <v>666.79254382300235</v>
      </c>
      <c r="H66" s="6">
        <f>IF((F66-G66&gt;0), (F66-G66), 0)</f>
        <v>428.13612284366434</v>
      </c>
      <c r="I66" s="6">
        <f>IF((B62="REPAYE"),(H66/2),0)</f>
        <v>0</v>
      </c>
    </row>
    <row r="67" spans="1:20" x14ac:dyDescent="0.25">
      <c r="A67" s="7" t="s">
        <v>18</v>
      </c>
      <c r="B67" s="22">
        <f>IF((B44-L48&gt;=0),B43,MAX((B43:B43)+(B44-L48),0))</f>
        <v>325110</v>
      </c>
      <c r="C67" s="3">
        <f>B67/B69</f>
        <v>0.64677141481620004</v>
      </c>
      <c r="D67" s="3"/>
      <c r="E67" s="24">
        <f>E43</f>
        <v>8.4000000000000005E-2</v>
      </c>
      <c r="F67" s="6">
        <f>B67*E67/12</f>
        <v>2275.77</v>
      </c>
      <c r="G67" s="6">
        <f>$B$58*C67</f>
        <v>1220.9157895103308</v>
      </c>
      <c r="H67" s="6">
        <f>IF((F67-G67&gt;0), (F67-G67), 0)</f>
        <v>1054.8542104896692</v>
      </c>
      <c r="I67" s="6">
        <f>IF((B62="REPAYE"),(H67/2),0)</f>
        <v>0</v>
      </c>
      <c r="K67"/>
      <c r="L67" s="60" t="s">
        <v>45</v>
      </c>
    </row>
    <row r="68" spans="1:20" ht="15.75" thickBot="1" x14ac:dyDescent="0.3">
      <c r="A68" s="7" t="s">
        <v>55</v>
      </c>
      <c r="B68" s="22">
        <f>B44</f>
        <v>0</v>
      </c>
      <c r="C68" s="3">
        <f>B68/B69</f>
        <v>0</v>
      </c>
      <c r="D68" s="3"/>
      <c r="E68" s="24">
        <f>E44</f>
        <v>7.2999999999999995E-2</v>
      </c>
      <c r="F68" s="18">
        <v>0</v>
      </c>
      <c r="G68" s="18">
        <f>C68*F68/12</f>
        <v>0</v>
      </c>
      <c r="H68" s="19" t="s">
        <v>26</v>
      </c>
      <c r="I68" s="19" t="s">
        <v>26</v>
      </c>
      <c r="K68" s="30" t="s">
        <v>44</v>
      </c>
      <c r="L68" s="60"/>
    </row>
    <row r="69" spans="1:20" ht="15.75" thickBot="1" x14ac:dyDescent="0.3">
      <c r="A69" s="8" t="s">
        <v>12</v>
      </c>
      <c r="B69" s="11">
        <f>SUM(B65:B68)</f>
        <v>502666</v>
      </c>
      <c r="F69" s="11">
        <f>SUM(F65:F68)</f>
        <v>3370.6986666666667</v>
      </c>
      <c r="G69" s="11">
        <f>SUM(G65:G68)</f>
        <v>1887.708333333333</v>
      </c>
      <c r="H69" s="11">
        <f>SUM(H65:H68)</f>
        <v>1482.9903333333336</v>
      </c>
      <c r="I69" s="15">
        <f>SUM(I65:I68)</f>
        <v>0</v>
      </c>
      <c r="K69" s="33">
        <v>0</v>
      </c>
      <c r="L69" s="11">
        <f>IF(AND(K69&gt;0,G69&gt;=F69),((G69-F69)+(K69-G69-(H69-I69))), IF(AND(K69&gt;0,G69&lt;F69),(K69-G69-(H69-I69)),0))</f>
        <v>0</v>
      </c>
    </row>
    <row r="70" spans="1:20" ht="15.75" thickTop="1" x14ac:dyDescent="0.25"/>
    <row r="71" spans="1:20" x14ac:dyDescent="0.25">
      <c r="G71" s="59" t="s">
        <v>35</v>
      </c>
      <c r="H71" s="59"/>
      <c r="I71" s="25">
        <f>I69*12</f>
        <v>0</v>
      </c>
      <c r="J71" s="43" t="s">
        <v>42</v>
      </c>
      <c r="K71" s="59" t="s">
        <v>46</v>
      </c>
      <c r="L71" s="31">
        <f>L69*12</f>
        <v>0</v>
      </c>
    </row>
    <row r="72" spans="1:20" x14ac:dyDescent="0.25">
      <c r="G72" s="59"/>
      <c r="H72" s="59"/>
      <c r="J72" s="42">
        <f>-PMT(E89/12,120,B89)</f>
        <v>0</v>
      </c>
      <c r="K72" s="59"/>
    </row>
    <row r="73" spans="1:20" x14ac:dyDescent="0.25">
      <c r="J73" s="42">
        <f>-PMT(E90/12,120,B90)</f>
        <v>2098.3656866695387</v>
      </c>
    </row>
    <row r="74" spans="1:20" ht="18.75" x14ac:dyDescent="0.25">
      <c r="A74" s="26" t="s">
        <v>43</v>
      </c>
      <c r="B74" s="26"/>
      <c r="C74" s="26"/>
      <c r="D74" s="26"/>
      <c r="E74" s="29" t="s">
        <v>49</v>
      </c>
      <c r="F74" s="29">
        <f>F50+1</f>
        <v>2027</v>
      </c>
      <c r="I74" s="17" t="s">
        <v>36</v>
      </c>
      <c r="J74" s="42">
        <f>-PMT(E91/12,120,B91)</f>
        <v>4013.5317696005905</v>
      </c>
      <c r="K74" s="59" t="s">
        <v>47</v>
      </c>
      <c r="L74" s="11">
        <f>L50+L71</f>
        <v>0</v>
      </c>
    </row>
    <row r="75" spans="1:20" x14ac:dyDescent="0.25">
      <c r="A75" t="s">
        <v>3</v>
      </c>
      <c r="B75" s="20">
        <f>B51</f>
        <v>1</v>
      </c>
      <c r="E75" t="s">
        <v>5</v>
      </c>
      <c r="F75" s="5">
        <f>B93</f>
        <v>502666</v>
      </c>
      <c r="I75" s="17" t="s">
        <v>37</v>
      </c>
      <c r="J75" s="42">
        <f>-PMT(E92/12,120,B92)</f>
        <v>0</v>
      </c>
      <c r="K75" s="59"/>
    </row>
    <row r="76" spans="1:20" x14ac:dyDescent="0.25">
      <c r="A76" t="s">
        <v>52</v>
      </c>
      <c r="B76" s="21">
        <v>325000</v>
      </c>
      <c r="E76" t="s">
        <v>6</v>
      </c>
      <c r="F76" s="21">
        <f>F52</f>
        <v>0</v>
      </c>
      <c r="I76" s="17" t="s">
        <v>38</v>
      </c>
    </row>
    <row r="77" spans="1:20" x14ac:dyDescent="0.25">
      <c r="A77" t="s">
        <v>4</v>
      </c>
      <c r="B77" s="5">
        <f>VLOOKUP(B75,'Poverty Guidelines'!$A$4:$I$11,7,FALSE)</f>
        <v>23475</v>
      </c>
      <c r="E77" s="8" t="s">
        <v>8</v>
      </c>
      <c r="F77" s="9">
        <f>F75+F76</f>
        <v>502666</v>
      </c>
      <c r="I77" s="17" t="s">
        <v>39</v>
      </c>
      <c r="S77" s="64"/>
    </row>
    <row r="78" spans="1:20" hidden="1" x14ac:dyDescent="0.25">
      <c r="A78" t="s">
        <v>31</v>
      </c>
      <c r="B78" s="5">
        <f>IF(((B76-B77)&lt;0), 0, ((B76-B77)/12))</f>
        <v>25127.083333333332</v>
      </c>
      <c r="S78" s="64"/>
      <c r="T78" s="38"/>
    </row>
    <row r="79" spans="1:20" x14ac:dyDescent="0.25">
      <c r="A79" t="s">
        <v>32</v>
      </c>
      <c r="B79" s="28" t="str">
        <f>IF(B86="IBR", "10%",IF(B86="ICR", "20%", "10%"))</f>
        <v>10%</v>
      </c>
    </row>
    <row r="80" spans="1:20" x14ac:dyDescent="0.25">
      <c r="A80" t="s">
        <v>7</v>
      </c>
      <c r="B80" s="5">
        <f>B78*B79</f>
        <v>2512.7083333333335</v>
      </c>
    </row>
    <row r="81" spans="1:12" x14ac:dyDescent="0.25">
      <c r="B81" s="5"/>
    </row>
    <row r="82" spans="1:12" x14ac:dyDescent="0.25">
      <c r="A82" t="s">
        <v>9</v>
      </c>
      <c r="B82" s="47">
        <f>(F75/F77)*B80</f>
        <v>2512.7083333333335</v>
      </c>
      <c r="E82" s="56" t="s">
        <v>50</v>
      </c>
      <c r="F82" s="56"/>
      <c r="G82" s="37">
        <f>H58+31</f>
        <v>47100</v>
      </c>
      <c r="H82" s="37">
        <f>G82+336</f>
        <v>47436</v>
      </c>
      <c r="J82" s="42">
        <f>-PMT(E89/12,144,B89)</f>
        <v>0</v>
      </c>
    </row>
    <row r="83" spans="1:12" x14ac:dyDescent="0.25">
      <c r="A83" t="s">
        <v>10</v>
      </c>
      <c r="B83" s="10">
        <f>(F76/F77)*B80</f>
        <v>0</v>
      </c>
      <c r="J83" s="42">
        <f>-PMT(E90/12,144,B90)</f>
        <v>1864.0301982717285</v>
      </c>
    </row>
    <row r="84" spans="1:12" x14ac:dyDescent="0.25">
      <c r="B84" s="10"/>
      <c r="J84" s="42">
        <f>-PMT(E91/12,144,B91)</f>
        <v>3590.856359837187</v>
      </c>
    </row>
    <row r="85" spans="1:12" x14ac:dyDescent="0.25">
      <c r="A85" s="57" t="s">
        <v>11</v>
      </c>
      <c r="B85" s="57"/>
      <c r="C85" s="57"/>
      <c r="D85" s="57"/>
      <c r="E85" s="57"/>
      <c r="F85" s="58" t="s">
        <v>40</v>
      </c>
      <c r="G85" s="58"/>
      <c r="J85" s="43" t="s">
        <v>54</v>
      </c>
    </row>
    <row r="86" spans="1:12" ht="13.5" customHeight="1" x14ac:dyDescent="0.25">
      <c r="A86" s="7" t="s">
        <v>23</v>
      </c>
      <c r="B86" s="23" t="s">
        <v>28</v>
      </c>
      <c r="C86" s="16"/>
      <c r="D86" s="16"/>
      <c r="E86" s="34"/>
      <c r="F86" s="58"/>
      <c r="G86" s="58"/>
      <c r="H86" s="32">
        <f>SUM(J71:J74)</f>
        <v>6111.8974562701296</v>
      </c>
      <c r="J86" s="42">
        <f>SUM(J82:J84)</f>
        <v>5454.8865581089158</v>
      </c>
    </row>
    <row r="87" spans="1:12" ht="12.75" customHeight="1" x14ac:dyDescent="0.25">
      <c r="A87" s="7" t="s">
        <v>25</v>
      </c>
      <c r="B87" s="23">
        <f>B63+1</f>
        <v>3</v>
      </c>
      <c r="C87" s="16"/>
      <c r="D87" s="16"/>
      <c r="E87" s="16"/>
      <c r="J87" s="44">
        <f>B78*0.2</f>
        <v>5025.416666666667</v>
      </c>
    </row>
    <row r="88" spans="1:12" ht="12.75" customHeight="1" x14ac:dyDescent="0.25">
      <c r="A88" s="13" t="s">
        <v>13</v>
      </c>
      <c r="B88" s="16" t="s">
        <v>14</v>
      </c>
      <c r="C88" s="12" t="s">
        <v>15</v>
      </c>
      <c r="D88" s="12"/>
      <c r="E88" s="12" t="s">
        <v>19</v>
      </c>
      <c r="F88" s="12" t="s">
        <v>20</v>
      </c>
      <c r="G88" s="12" t="s">
        <v>30</v>
      </c>
      <c r="H88" s="12" t="s">
        <v>21</v>
      </c>
      <c r="I88" s="12" t="s">
        <v>22</v>
      </c>
    </row>
    <row r="89" spans="1:12" x14ac:dyDescent="0.25">
      <c r="A89" s="7" t="s">
        <v>16</v>
      </c>
      <c r="B89" s="22">
        <f>B65</f>
        <v>0</v>
      </c>
      <c r="C89" s="3">
        <f>B89/B93</f>
        <v>0</v>
      </c>
      <c r="D89" s="3"/>
      <c r="E89" s="24">
        <f>E65</f>
        <v>0.05</v>
      </c>
      <c r="F89" s="6">
        <f>B89*E89/12</f>
        <v>0</v>
      </c>
      <c r="G89" s="6">
        <f>$B$82*C89</f>
        <v>0</v>
      </c>
      <c r="H89" s="6">
        <f>IF((F89-G89&gt;0), (F89-G89), 0)</f>
        <v>0</v>
      </c>
      <c r="I89" s="14" t="str">
        <f>IF(AND(B86="REPAYE",B87&gt;3,),(H89/2),IF(AND(B86="REPAYE",B87&lt;3.1),H89,IF(AND(B86="PAYE",B87&lt;3),H89,IF(B86="ICR",0,IF(AND(B86="IBR",B87&lt;3),H89,IF(AND(B86="REPAYE",B87&gt;3),H89/2,"$0"))))))</f>
        <v>$0</v>
      </c>
    </row>
    <row r="90" spans="1:12" x14ac:dyDescent="0.25">
      <c r="A90" s="7" t="s">
        <v>17</v>
      </c>
      <c r="B90" s="22">
        <f>IF((B67-L71&gt;=0),B66,MAX((B66:B66)+(B67-L71),0))</f>
        <v>177556</v>
      </c>
      <c r="C90" s="3">
        <f>B90/B93</f>
        <v>0.35322858518379996</v>
      </c>
      <c r="D90" s="3"/>
      <c r="E90" s="24">
        <f>E66</f>
        <v>7.3999999999999996E-2</v>
      </c>
      <c r="F90" s="6">
        <f>B90*E90/12</f>
        <v>1094.9286666666667</v>
      </c>
      <c r="G90" s="6">
        <f>$B$82*C90</f>
        <v>887.56040956287745</v>
      </c>
      <c r="H90" s="6">
        <f>IF((F90-G90&gt;0), (F90-G90), 0)</f>
        <v>207.36825710378923</v>
      </c>
      <c r="I90" s="6">
        <f>IF((B86="REPAYE"),(H90/2),0)</f>
        <v>0</v>
      </c>
    </row>
    <row r="91" spans="1:12" x14ac:dyDescent="0.25">
      <c r="A91" s="7" t="s">
        <v>18</v>
      </c>
      <c r="B91" s="22">
        <f>IF((B67-L71&gt;=0),B67-L71,MAX(B67-L71,0))</f>
        <v>325110</v>
      </c>
      <c r="C91" s="3">
        <f>B91/B93</f>
        <v>0.64677141481620004</v>
      </c>
      <c r="D91" s="3"/>
      <c r="E91" s="24">
        <f>E67</f>
        <v>8.4000000000000005E-2</v>
      </c>
      <c r="F91" s="6">
        <f>B91*E91/12</f>
        <v>2275.77</v>
      </c>
      <c r="G91" s="6">
        <f>$B$82*C91</f>
        <v>1625.1479237704561</v>
      </c>
      <c r="H91" s="6">
        <f>IF((F91-G91&gt;0), (F91-G91), 0)</f>
        <v>650.62207622954384</v>
      </c>
      <c r="I91" s="6">
        <f>IF((B86="REPAYE"),(H91/2),0)</f>
        <v>0</v>
      </c>
      <c r="K91"/>
      <c r="L91" s="60" t="s">
        <v>45</v>
      </c>
    </row>
    <row r="92" spans="1:12" ht="15.75" thickBot="1" x14ac:dyDescent="0.3">
      <c r="A92" s="7" t="s">
        <v>55</v>
      </c>
      <c r="B92" s="22">
        <f>B68</f>
        <v>0</v>
      </c>
      <c r="C92" s="3">
        <f>B92/B93</f>
        <v>0</v>
      </c>
      <c r="D92" s="3"/>
      <c r="E92" s="24">
        <f>E68</f>
        <v>7.2999999999999995E-2</v>
      </c>
      <c r="F92" s="18">
        <v>0</v>
      </c>
      <c r="G92" s="18">
        <v>0</v>
      </c>
      <c r="H92" s="19" t="s">
        <v>26</v>
      </c>
      <c r="I92" s="19" t="s">
        <v>26</v>
      </c>
      <c r="K92" s="30" t="s">
        <v>44</v>
      </c>
      <c r="L92" s="60"/>
    </row>
    <row r="93" spans="1:12" ht="15.75" thickBot="1" x14ac:dyDescent="0.3">
      <c r="A93" s="8" t="s">
        <v>12</v>
      </c>
      <c r="B93" s="11">
        <f>SUM(B89:B92)</f>
        <v>502666</v>
      </c>
      <c r="F93" s="11">
        <f>SUM(F89:F92)</f>
        <v>3370.6986666666667</v>
      </c>
      <c r="G93" s="11">
        <f>SUM(G89:G92)</f>
        <v>2512.7083333333335</v>
      </c>
      <c r="H93" s="11">
        <f>SUM(H89:H92)</f>
        <v>857.99033333333307</v>
      </c>
      <c r="I93" s="15">
        <f>SUM(I89:I92)</f>
        <v>0</v>
      </c>
      <c r="K93" s="33">
        <v>0</v>
      </c>
      <c r="L93" s="11">
        <f>IF(AND(K93&gt;0,G93&gt;=F93),((G93-F93)+(K93-G93-(H93-I93))), IF(AND(K93&gt;0,G93&lt;F93),(K93-G93-(H93-I93)),0))</f>
        <v>0</v>
      </c>
    </row>
    <row r="94" spans="1:12" ht="15.75" thickTop="1" x14ac:dyDescent="0.25"/>
    <row r="95" spans="1:12" x14ac:dyDescent="0.25">
      <c r="G95" s="59" t="s">
        <v>35</v>
      </c>
      <c r="H95" s="59"/>
      <c r="I95" s="25">
        <f>I93*12</f>
        <v>0</v>
      </c>
      <c r="K95" s="59" t="s">
        <v>46</v>
      </c>
      <c r="L95" s="31">
        <f>L93*12</f>
        <v>0</v>
      </c>
    </row>
    <row r="96" spans="1:12" x14ac:dyDescent="0.25">
      <c r="G96" s="59"/>
      <c r="H96" s="59"/>
      <c r="J96" s="42">
        <f>-PMT(E113/12,120,B113)</f>
        <v>0</v>
      </c>
      <c r="K96" s="59"/>
    </row>
    <row r="97" spans="1:21" x14ac:dyDescent="0.25">
      <c r="J97" s="42">
        <f>-PMT(E114/12,120,B114)</f>
        <v>2098.3656866695387</v>
      </c>
    </row>
    <row r="98" spans="1:21" ht="18.75" x14ac:dyDescent="0.25">
      <c r="A98" s="26" t="s">
        <v>48</v>
      </c>
      <c r="B98" s="26"/>
      <c r="C98" s="26"/>
      <c r="D98" s="26"/>
      <c r="E98" s="29" t="s">
        <v>49</v>
      </c>
      <c r="F98" s="36">
        <f>F74+1</f>
        <v>2028</v>
      </c>
      <c r="I98" s="17" t="s">
        <v>36</v>
      </c>
      <c r="J98" s="42">
        <f>-PMT(E115/12,120,B115)</f>
        <v>4013.5317696005905</v>
      </c>
      <c r="K98" s="59" t="s">
        <v>47</v>
      </c>
      <c r="L98" s="11">
        <f>L74+L95</f>
        <v>0</v>
      </c>
    </row>
    <row r="99" spans="1:21" x14ac:dyDescent="0.25">
      <c r="A99" t="s">
        <v>3</v>
      </c>
      <c r="B99" s="20">
        <f>B75</f>
        <v>1</v>
      </c>
      <c r="E99" t="s">
        <v>5</v>
      </c>
      <c r="F99" s="5">
        <f>B117</f>
        <v>502666</v>
      </c>
      <c r="I99" s="17" t="s">
        <v>37</v>
      </c>
      <c r="J99" s="42">
        <f>-PMT(E116/12,120,B116)</f>
        <v>0</v>
      </c>
      <c r="K99" s="59"/>
    </row>
    <row r="100" spans="1:21" x14ac:dyDescent="0.25">
      <c r="A100" t="s">
        <v>52</v>
      </c>
      <c r="B100" s="21">
        <v>500000</v>
      </c>
      <c r="E100" t="s">
        <v>6</v>
      </c>
      <c r="F100" s="21">
        <f>F76</f>
        <v>0</v>
      </c>
      <c r="I100" s="17" t="s">
        <v>38</v>
      </c>
      <c r="J100" s="42">
        <f>-PMT(E115/12,120,B115)</f>
        <v>4013.5317696005905</v>
      </c>
      <c r="K100" s="35"/>
      <c r="L100" s="11"/>
    </row>
    <row r="101" spans="1:21" x14ac:dyDescent="0.25">
      <c r="A101" t="s">
        <v>4</v>
      </c>
      <c r="B101" s="5">
        <f>VLOOKUP(B99,'Poverty Guidelines'!$A$4:$I$11,7,FALSE)</f>
        <v>23475</v>
      </c>
      <c r="E101" s="8" t="s">
        <v>8</v>
      </c>
      <c r="F101" s="9">
        <f>F99+F100</f>
        <v>502666</v>
      </c>
      <c r="I101" s="17" t="s">
        <v>39</v>
      </c>
      <c r="J101" s="42"/>
      <c r="K101" s="35"/>
    </row>
    <row r="102" spans="1:21" hidden="1" x14ac:dyDescent="0.25">
      <c r="A102" t="s">
        <v>31</v>
      </c>
      <c r="B102" s="5">
        <f>IF(((B100-B101)&lt;0), 0, ((B100-B101)/12))</f>
        <v>39710.416666666664</v>
      </c>
    </row>
    <row r="103" spans="1:21" x14ac:dyDescent="0.25">
      <c r="A103" t="s">
        <v>32</v>
      </c>
      <c r="B103" s="28" t="str">
        <f>IF(B110="IBR", "10%",IF(B110="ICR", "20%", "10%"))</f>
        <v>10%</v>
      </c>
      <c r="T103" s="64"/>
    </row>
    <row r="104" spans="1:21" x14ac:dyDescent="0.25">
      <c r="A104" t="s">
        <v>7</v>
      </c>
      <c r="B104" s="5">
        <f>B102*B103</f>
        <v>3971.0416666666665</v>
      </c>
      <c r="T104" s="64"/>
      <c r="U104" s="38"/>
    </row>
    <row r="105" spans="1:21" x14ac:dyDescent="0.25">
      <c r="B105" s="5"/>
    </row>
    <row r="106" spans="1:21" x14ac:dyDescent="0.25">
      <c r="A106" t="s">
        <v>9</v>
      </c>
      <c r="B106" s="47">
        <f>(F99/F101)*B104</f>
        <v>3971.0416666666665</v>
      </c>
      <c r="E106" s="56" t="s">
        <v>50</v>
      </c>
      <c r="F106" s="56"/>
      <c r="G106" s="37">
        <f>H82+31</f>
        <v>47467</v>
      </c>
      <c r="H106" s="37">
        <f>G106+336</f>
        <v>47803</v>
      </c>
      <c r="J106" s="42">
        <f>-PMT(E113/12,144,B113)</f>
        <v>0</v>
      </c>
    </row>
    <row r="107" spans="1:21" x14ac:dyDescent="0.25">
      <c r="A107" t="s">
        <v>10</v>
      </c>
      <c r="B107" s="10">
        <f>(F100/F101)*B104</f>
        <v>0</v>
      </c>
      <c r="J107" s="42">
        <f>-PMT(E114/12,144,B114)</f>
        <v>1864.0301982717285</v>
      </c>
    </row>
    <row r="108" spans="1:21" x14ac:dyDescent="0.25">
      <c r="B108" s="10"/>
      <c r="J108" s="42">
        <f>-PMT(E115/12,144,B115)</f>
        <v>3590.856359837187</v>
      </c>
    </row>
    <row r="109" spans="1:21" x14ac:dyDescent="0.25">
      <c r="A109" s="57" t="s">
        <v>11</v>
      </c>
      <c r="B109" s="57"/>
      <c r="C109" s="57"/>
      <c r="D109" s="57"/>
      <c r="E109" s="57"/>
      <c r="F109" s="58" t="s">
        <v>40</v>
      </c>
      <c r="G109" s="58"/>
      <c r="J109" s="43" t="s">
        <v>54</v>
      </c>
    </row>
    <row r="110" spans="1:21" x14ac:dyDescent="0.25">
      <c r="A110" s="7" t="s">
        <v>23</v>
      </c>
      <c r="B110" s="23" t="s">
        <v>28</v>
      </c>
      <c r="C110" s="16"/>
      <c r="D110" s="16"/>
      <c r="E110" s="34"/>
      <c r="F110" s="58"/>
      <c r="G110" s="58"/>
      <c r="H110" s="32">
        <f>SUM(J96:J99)</f>
        <v>6111.8974562701296</v>
      </c>
      <c r="J110" s="42">
        <f>SUM(J106:J108)</f>
        <v>5454.8865581089158</v>
      </c>
    </row>
    <row r="111" spans="1:21" x14ac:dyDescent="0.25">
      <c r="A111" s="7" t="s">
        <v>25</v>
      </c>
      <c r="B111" s="23">
        <f>B87+1</f>
        <v>4</v>
      </c>
      <c r="C111" s="16"/>
      <c r="D111" s="16"/>
      <c r="E111" s="16"/>
      <c r="J111" s="44">
        <f>B102*0.2</f>
        <v>7942.083333333333</v>
      </c>
    </row>
    <row r="112" spans="1:21" ht="42.75" customHeight="1" x14ac:dyDescent="0.25">
      <c r="A112" s="13" t="s">
        <v>13</v>
      </c>
      <c r="B112" s="16" t="s">
        <v>14</v>
      </c>
      <c r="C112" s="12" t="s">
        <v>15</v>
      </c>
      <c r="D112" s="12"/>
      <c r="E112" s="12" t="s">
        <v>19</v>
      </c>
      <c r="F112" s="12" t="s">
        <v>20</v>
      </c>
      <c r="G112" s="12" t="s">
        <v>30</v>
      </c>
      <c r="H112" s="12" t="s">
        <v>21</v>
      </c>
      <c r="I112" s="12" t="s">
        <v>22</v>
      </c>
    </row>
    <row r="113" spans="1:13" x14ac:dyDescent="0.25">
      <c r="A113" s="7" t="s">
        <v>16</v>
      </c>
      <c r="B113" s="22">
        <f>B89</f>
        <v>0</v>
      </c>
      <c r="C113" s="3">
        <f>B113/B117</f>
        <v>0</v>
      </c>
      <c r="D113" s="3"/>
      <c r="E113" s="24">
        <f>E89</f>
        <v>0.05</v>
      </c>
      <c r="F113" s="6">
        <f>B113*E113/12</f>
        <v>0</v>
      </c>
      <c r="G113" s="6">
        <f>$B$106*C113</f>
        <v>0</v>
      </c>
      <c r="H113" s="6">
        <f>IF((F113-G113&gt;0), (F113-G113), 0)</f>
        <v>0</v>
      </c>
      <c r="I113" s="14" t="str">
        <f>IF(AND(B110="REPAYE",B111&gt;3,),(H113/2),IF(AND(B110="REPAYE",B111&lt;3.1),H113,IF(AND(B110="PAYE",B111&lt;3),H113,IF(B110="ICR",0,IF(AND(B110="IBR",B111&lt;3),H113,IF(AND(B110="REPAYE",B111&gt;3),H113/2,"$0"))))))</f>
        <v>$0</v>
      </c>
    </row>
    <row r="114" spans="1:13" ht="18.75" customHeight="1" x14ac:dyDescent="0.25">
      <c r="A114" s="7" t="s">
        <v>17</v>
      </c>
      <c r="B114" s="22">
        <f>IF((B91-L95&gt;=0),B90,MAX((B90:B90)+(B91-L95),0))</f>
        <v>177556</v>
      </c>
      <c r="C114" s="3">
        <f>B114/B117</f>
        <v>0.35322858518379996</v>
      </c>
      <c r="D114" s="3"/>
      <c r="E114" s="24">
        <f>E90</f>
        <v>7.3999999999999996E-2</v>
      </c>
      <c r="F114" s="6">
        <f>B114*E114/12</f>
        <v>1094.9286666666667</v>
      </c>
      <c r="G114" s="6">
        <f>$B$106*C114</f>
        <v>1402.6854296225856</v>
      </c>
      <c r="H114" s="6">
        <f>IF((F114-G114&gt;0), (F114-G114), 0)</f>
        <v>0</v>
      </c>
      <c r="I114" s="6">
        <f>IF((B110="REPAYE"),(H114/2),0)</f>
        <v>0</v>
      </c>
    </row>
    <row r="115" spans="1:13" x14ac:dyDescent="0.25">
      <c r="A115" s="7" t="s">
        <v>18</v>
      </c>
      <c r="B115" s="22">
        <f>IF((B91-L95&gt;=0),B91-L95,MAX(B91-L95,0))</f>
        <v>325110</v>
      </c>
      <c r="C115" s="3">
        <f>B115/B117</f>
        <v>0.64677141481620004</v>
      </c>
      <c r="D115" s="3"/>
      <c r="E115" s="24">
        <f>E91</f>
        <v>8.4000000000000005E-2</v>
      </c>
      <c r="F115" s="6">
        <f>B115*E115/12</f>
        <v>2275.77</v>
      </c>
      <c r="G115" s="6">
        <f>$B$106*C115</f>
        <v>2568.3562370440809</v>
      </c>
      <c r="H115" s="6">
        <f>IF((F115-G115&gt;0), (F115-G115), 0)</f>
        <v>0</v>
      </c>
      <c r="I115" s="6">
        <f>IF((B110="REPAYE"),(H115/2),0)</f>
        <v>0</v>
      </c>
      <c r="K115"/>
      <c r="L115" s="60" t="s">
        <v>45</v>
      </c>
    </row>
    <row r="116" spans="1:13" ht="15.75" thickBot="1" x14ac:dyDescent="0.3">
      <c r="A116" s="7" t="s">
        <v>55</v>
      </c>
      <c r="B116" s="22">
        <f>B92</f>
        <v>0</v>
      </c>
      <c r="C116" s="3">
        <f>B116/B117</f>
        <v>0</v>
      </c>
      <c r="D116" s="3"/>
      <c r="E116" s="24">
        <f>E92</f>
        <v>7.2999999999999995E-2</v>
      </c>
      <c r="F116" s="18">
        <v>0</v>
      </c>
      <c r="G116" s="18">
        <v>0</v>
      </c>
      <c r="H116" s="19" t="s">
        <v>26</v>
      </c>
      <c r="I116" s="19" t="s">
        <v>26</v>
      </c>
      <c r="K116" s="30" t="s">
        <v>44</v>
      </c>
      <c r="L116" s="60"/>
    </row>
    <row r="117" spans="1:13" ht="15.75" thickBot="1" x14ac:dyDescent="0.3">
      <c r="A117" s="8" t="s">
        <v>12</v>
      </c>
      <c r="B117" s="11">
        <f>SUM(B113:B116)</f>
        <v>502666</v>
      </c>
      <c r="F117" s="11">
        <f>SUM(F113:F116)</f>
        <v>3370.6986666666667</v>
      </c>
      <c r="G117" s="11">
        <f>SUM(G113:G116)</f>
        <v>3971.0416666666665</v>
      </c>
      <c r="H117" s="11">
        <f>SUM(H113:H116)</f>
        <v>0</v>
      </c>
      <c r="I117" s="15">
        <f>SUM(I113:I116)</f>
        <v>0</v>
      </c>
      <c r="K117" s="33">
        <v>0</v>
      </c>
      <c r="L117" s="11">
        <f>IF(AND(K117&gt;0,G117&gt;=F117),((G117-F117)+(K117-G117-(H117-I117))), IF(AND(K117&gt;0,G117&lt;F117),(K117-G117-(H117-I117)),0))</f>
        <v>0</v>
      </c>
      <c r="M117" s="17" t="s">
        <v>42</v>
      </c>
    </row>
    <row r="118" spans="1:13" ht="15.75" thickTop="1" x14ac:dyDescent="0.25"/>
    <row r="119" spans="1:13" x14ac:dyDescent="0.25">
      <c r="G119" s="59" t="s">
        <v>35</v>
      </c>
      <c r="H119" s="59"/>
      <c r="I119" s="25">
        <f>I117*12</f>
        <v>0</v>
      </c>
      <c r="K119" s="59" t="s">
        <v>46</v>
      </c>
      <c r="L119" s="31">
        <f>L117*12</f>
        <v>0</v>
      </c>
      <c r="M119" s="17" t="s">
        <v>42</v>
      </c>
    </row>
    <row r="120" spans="1:13" x14ac:dyDescent="0.25">
      <c r="G120" s="59"/>
      <c r="H120" s="59"/>
      <c r="J120" s="42">
        <f>-PMT(E137/12,120,B137)</f>
        <v>0</v>
      </c>
      <c r="K120" s="59"/>
    </row>
    <row r="121" spans="1:13" x14ac:dyDescent="0.25">
      <c r="J121" s="42">
        <f>-PMT(E138/12,120,B138)</f>
        <v>2098.3656866695387</v>
      </c>
    </row>
    <row r="122" spans="1:13" ht="15" customHeight="1" x14ac:dyDescent="0.25">
      <c r="A122" s="26" t="s">
        <v>53</v>
      </c>
      <c r="B122" s="26"/>
      <c r="C122" s="26"/>
      <c r="D122" s="26"/>
      <c r="E122" s="29" t="s">
        <v>49</v>
      </c>
      <c r="F122" s="36">
        <f>F98+1</f>
        <v>2029</v>
      </c>
      <c r="I122" s="17" t="s">
        <v>36</v>
      </c>
      <c r="J122" s="42">
        <f>-PMT(E139/12,120,B139)</f>
        <v>4013.5317696005905</v>
      </c>
      <c r="K122" s="59" t="s">
        <v>47</v>
      </c>
      <c r="L122" s="11">
        <f>L98+L119</f>
        <v>0</v>
      </c>
    </row>
    <row r="123" spans="1:13" x14ac:dyDescent="0.25">
      <c r="A123" t="s">
        <v>3</v>
      </c>
      <c r="B123" s="20">
        <f>B99</f>
        <v>1</v>
      </c>
      <c r="E123" t="s">
        <v>5</v>
      </c>
      <c r="F123" s="5">
        <f>B141</f>
        <v>502666</v>
      </c>
      <c r="I123" s="17" t="s">
        <v>37</v>
      </c>
      <c r="J123" s="42">
        <f>-PMT(E140/12,120,B140)</f>
        <v>0</v>
      </c>
      <c r="K123" s="59"/>
    </row>
    <row r="124" spans="1:13" x14ac:dyDescent="0.25">
      <c r="A124" t="s">
        <v>52</v>
      </c>
      <c r="B124" s="21">
        <v>750000</v>
      </c>
      <c r="E124" t="s">
        <v>6</v>
      </c>
      <c r="F124" s="21">
        <f>F100</f>
        <v>0</v>
      </c>
      <c r="I124" s="17" t="s">
        <v>38</v>
      </c>
      <c r="J124" s="42">
        <f>-PMT(E139/12,120,B139)</f>
        <v>4013.5317696005905</v>
      </c>
      <c r="K124" s="35"/>
      <c r="L124" s="11"/>
    </row>
    <row r="125" spans="1:13" x14ac:dyDescent="0.25">
      <c r="A125" t="s">
        <v>4</v>
      </c>
      <c r="B125" s="5">
        <f>VLOOKUP(B123,'Poverty Guidelines'!$A$4:$I$11,7,FALSE)</f>
        <v>23475</v>
      </c>
      <c r="E125" s="8" t="s">
        <v>8</v>
      </c>
      <c r="F125" s="9">
        <f>F123+F124</f>
        <v>502666</v>
      </c>
      <c r="I125" s="17" t="s">
        <v>39</v>
      </c>
      <c r="J125" s="42"/>
      <c r="K125" s="35"/>
    </row>
    <row r="126" spans="1:13" hidden="1" x14ac:dyDescent="0.25">
      <c r="A126" t="s">
        <v>31</v>
      </c>
      <c r="B126" s="5">
        <f>IF(((B124-B125)&lt;0), 0, ((B124-B125)/12))</f>
        <v>60543.75</v>
      </c>
    </row>
    <row r="127" spans="1:13" x14ac:dyDescent="0.25">
      <c r="A127" t="s">
        <v>32</v>
      </c>
      <c r="B127" s="28" t="str">
        <f>IF(B134="IBR", "10%",IF(B134="ICR", "20%", "10%"))</f>
        <v>10%</v>
      </c>
    </row>
    <row r="128" spans="1:13" x14ac:dyDescent="0.25">
      <c r="A128" t="s">
        <v>7</v>
      </c>
      <c r="B128" s="5">
        <f>B126*B127</f>
        <v>6054.375</v>
      </c>
    </row>
    <row r="129" spans="1:12" x14ac:dyDescent="0.25">
      <c r="B129" s="5"/>
    </row>
    <row r="130" spans="1:12" x14ac:dyDescent="0.25">
      <c r="A130" t="s">
        <v>9</v>
      </c>
      <c r="B130" s="47">
        <f>(F123/F125)*B128</f>
        <v>6054.375</v>
      </c>
      <c r="E130" s="56" t="s">
        <v>50</v>
      </c>
      <c r="F130" s="56"/>
      <c r="G130" s="37">
        <f>H106+31</f>
        <v>47834</v>
      </c>
      <c r="H130" s="37">
        <f>G130+336</f>
        <v>48170</v>
      </c>
      <c r="J130" s="42">
        <f>-PMT(E137/12,144,B137)</f>
        <v>0</v>
      </c>
    </row>
    <row r="131" spans="1:12" x14ac:dyDescent="0.25">
      <c r="A131" t="s">
        <v>10</v>
      </c>
      <c r="B131" s="10">
        <f>(F124/F125)*B128</f>
        <v>0</v>
      </c>
      <c r="J131" s="42">
        <f>-PMT(E138/12,144,B138)</f>
        <v>1864.0301982717285</v>
      </c>
    </row>
    <row r="132" spans="1:12" x14ac:dyDescent="0.25">
      <c r="B132" s="10"/>
      <c r="J132" s="42">
        <f>-PMT(E139/12,144,B139)</f>
        <v>3590.856359837187</v>
      </c>
    </row>
    <row r="133" spans="1:12" x14ac:dyDescent="0.25">
      <c r="A133" s="57" t="s">
        <v>11</v>
      </c>
      <c r="B133" s="57"/>
      <c r="C133" s="57"/>
      <c r="D133" s="57"/>
      <c r="E133" s="57"/>
      <c r="F133" s="58" t="s">
        <v>40</v>
      </c>
      <c r="G133" s="58"/>
      <c r="J133" s="43" t="s">
        <v>54</v>
      </c>
    </row>
    <row r="134" spans="1:12" x14ac:dyDescent="0.25">
      <c r="A134" s="7" t="s">
        <v>23</v>
      </c>
      <c r="B134" s="23" t="s">
        <v>28</v>
      </c>
      <c r="C134" s="16"/>
      <c r="D134" s="16"/>
      <c r="E134" s="34"/>
      <c r="F134" s="58"/>
      <c r="G134" s="58"/>
      <c r="H134" s="32">
        <f>SUM(J120:J123)</f>
        <v>6111.8974562701296</v>
      </c>
      <c r="J134" s="42">
        <f>SUM(J130:J132)</f>
        <v>5454.8865581089158</v>
      </c>
    </row>
    <row r="135" spans="1:12" x14ac:dyDescent="0.25">
      <c r="A135" s="7" t="s">
        <v>25</v>
      </c>
      <c r="B135" s="23">
        <f>B111+1</f>
        <v>5</v>
      </c>
      <c r="C135" s="16"/>
      <c r="D135" s="16"/>
      <c r="E135" s="16"/>
      <c r="J135" s="44">
        <f>B126*0.2</f>
        <v>12108.75</v>
      </c>
    </row>
    <row r="136" spans="1:12" ht="42.75" customHeight="1" x14ac:dyDescent="0.25">
      <c r="A136" s="13" t="s">
        <v>13</v>
      </c>
      <c r="B136" s="16" t="s">
        <v>14</v>
      </c>
      <c r="C136" s="12" t="s">
        <v>15</v>
      </c>
      <c r="D136" s="12"/>
      <c r="E136" s="12" t="s">
        <v>19</v>
      </c>
      <c r="F136" s="12" t="s">
        <v>20</v>
      </c>
      <c r="G136" s="12" t="s">
        <v>30</v>
      </c>
      <c r="H136" s="12" t="s">
        <v>21</v>
      </c>
      <c r="I136" s="12" t="s">
        <v>22</v>
      </c>
    </row>
    <row r="137" spans="1:12" x14ac:dyDescent="0.25">
      <c r="A137" s="7" t="s">
        <v>16</v>
      </c>
      <c r="B137" s="22">
        <f>B113</f>
        <v>0</v>
      </c>
      <c r="C137" s="3">
        <f>B137/B141</f>
        <v>0</v>
      </c>
      <c r="D137" s="3"/>
      <c r="E137" s="24">
        <f>E113</f>
        <v>0.05</v>
      </c>
      <c r="F137" s="6">
        <f>B137*E137/12</f>
        <v>0</v>
      </c>
      <c r="G137" s="6">
        <f>$B$130*C137</f>
        <v>0</v>
      </c>
      <c r="H137" s="6">
        <f>IF((F137-G137&gt;0), (F137-G137), 0)</f>
        <v>0</v>
      </c>
      <c r="I137" s="14" t="str">
        <f>IF(AND(B134="REPAYE",B135&gt;3,),(H137/2),IF(AND(B134="REPAYE",B135&lt;3.1),H137,IF(AND(B134="PAYE",B135&lt;3),H137,IF(B134="ICR",0,IF(AND(B134="IBR",B135&lt;3),H137,IF(AND(B134="REPAYE",B135&gt;3),H137/2,"$0"))))))</f>
        <v>$0</v>
      </c>
    </row>
    <row r="138" spans="1:12" x14ac:dyDescent="0.25">
      <c r="A138" s="7" t="s">
        <v>17</v>
      </c>
      <c r="B138" s="22">
        <f>IF((B115-L119&gt;=0),B114,MAX((B114:B114)+(B115-L119),0))</f>
        <v>177556</v>
      </c>
      <c r="C138" s="3">
        <f>B138/B141</f>
        <v>0.35322858518379996</v>
      </c>
      <c r="D138" s="3"/>
      <c r="E138" s="24">
        <f>E114</f>
        <v>7.3999999999999996E-2</v>
      </c>
      <c r="F138" s="6">
        <f>B138*E138/12</f>
        <v>1094.9286666666667</v>
      </c>
      <c r="G138" s="6">
        <f>$B$130*C138</f>
        <v>2138.578315422169</v>
      </c>
      <c r="H138" s="6">
        <f>IF((F138-G138&gt;0), (F138-G138), 0)</f>
        <v>0</v>
      </c>
      <c r="I138" s="6">
        <f>IF((B134="REPAYE"),(H138/2),0)</f>
        <v>0</v>
      </c>
    </row>
    <row r="139" spans="1:12" x14ac:dyDescent="0.25">
      <c r="A139" s="7" t="s">
        <v>18</v>
      </c>
      <c r="B139" s="22">
        <f>IF((B115-L119&gt;=0),B115-L119,MAX(B115-L119,0))</f>
        <v>325110</v>
      </c>
      <c r="C139" s="3">
        <f>B139/B141</f>
        <v>0.64677141481620004</v>
      </c>
      <c r="D139" s="3"/>
      <c r="E139" s="24">
        <f>E115</f>
        <v>8.4000000000000005E-2</v>
      </c>
      <c r="F139" s="6">
        <f>B139*E139/12</f>
        <v>2275.77</v>
      </c>
      <c r="G139" s="6">
        <f>$B$130*C139</f>
        <v>3915.796684577831</v>
      </c>
      <c r="H139" s="6">
        <f>IF((F139-G139&gt;0), (F139-G139), 0)</f>
        <v>0</v>
      </c>
      <c r="I139" s="6">
        <f>IF((B134="REPAYE"),(H139/2),0)</f>
        <v>0</v>
      </c>
      <c r="K139"/>
      <c r="L139" s="60" t="s">
        <v>45</v>
      </c>
    </row>
    <row r="140" spans="1:12" ht="15.75" thickBot="1" x14ac:dyDescent="0.3">
      <c r="A140" s="7" t="s">
        <v>55</v>
      </c>
      <c r="B140" s="22">
        <f>B116</f>
        <v>0</v>
      </c>
      <c r="C140" s="3">
        <f>B140/B141</f>
        <v>0</v>
      </c>
      <c r="D140" s="3"/>
      <c r="E140" s="24">
        <f>E116</f>
        <v>7.2999999999999995E-2</v>
      </c>
      <c r="F140" s="18">
        <v>0</v>
      </c>
      <c r="G140" s="18">
        <v>0</v>
      </c>
      <c r="H140" s="19" t="s">
        <v>26</v>
      </c>
      <c r="I140" s="19" t="s">
        <v>26</v>
      </c>
      <c r="K140" s="30" t="s">
        <v>44</v>
      </c>
      <c r="L140" s="60"/>
    </row>
    <row r="141" spans="1:12" ht="15.75" thickBot="1" x14ac:dyDescent="0.3">
      <c r="A141" s="8" t="s">
        <v>12</v>
      </c>
      <c r="B141" s="11">
        <f>SUM(B137:B140)</f>
        <v>502666</v>
      </c>
      <c r="F141" s="11">
        <f>SUM(F137:F140)</f>
        <v>3370.6986666666667</v>
      </c>
      <c r="G141" s="11">
        <f>SUM(G137:G140)</f>
        <v>6054.375</v>
      </c>
      <c r="H141" s="11">
        <f>SUM(H137:H140)</f>
        <v>0</v>
      </c>
      <c r="I141" s="15">
        <f>SUM(I137:I140)</f>
        <v>0</v>
      </c>
      <c r="K141" s="33">
        <v>0</v>
      </c>
      <c r="L141" s="11">
        <f>IF(AND(K141&gt;0,G141&gt;=F141),((G141-F141)+(K141-G141-(H141-I141))), IF(AND(K141&gt;0,G141&lt;F141),(K141-G141-(H141-I141)),0))</f>
        <v>0</v>
      </c>
    </row>
    <row r="142" spans="1:12" ht="15.75" thickTop="1" x14ac:dyDescent="0.25"/>
    <row r="143" spans="1:12" x14ac:dyDescent="0.25">
      <c r="G143" s="59" t="s">
        <v>35</v>
      </c>
      <c r="H143" s="59"/>
      <c r="I143" s="25">
        <f>I141*12</f>
        <v>0</v>
      </c>
      <c r="K143" s="59" t="s">
        <v>46</v>
      </c>
      <c r="L143" s="31">
        <f>L141*12</f>
        <v>0</v>
      </c>
    </row>
    <row r="144" spans="1:12" x14ac:dyDescent="0.25">
      <c r="G144" s="59"/>
      <c r="H144" s="59"/>
      <c r="J144" s="42">
        <f>-PMT(E161/12,120,B161)</f>
        <v>0</v>
      </c>
      <c r="K144" s="59"/>
    </row>
    <row r="145" spans="1:12" x14ac:dyDescent="0.25">
      <c r="J145" s="42">
        <f>-PMT(E162/12,120,B162)</f>
        <v>2098.3656866695387</v>
      </c>
    </row>
    <row r="146" spans="1:12" ht="18.75" x14ac:dyDescent="0.25">
      <c r="A146" s="26" t="s">
        <v>59</v>
      </c>
      <c r="B146" s="26"/>
      <c r="C146" s="26"/>
      <c r="D146" s="26"/>
      <c r="E146" s="29" t="s">
        <v>49</v>
      </c>
      <c r="F146" s="36">
        <f>F122+1</f>
        <v>2030</v>
      </c>
      <c r="I146" s="17" t="s">
        <v>36</v>
      </c>
      <c r="J146" s="42">
        <f>-PMT(E163/12,120,B163)</f>
        <v>4013.5317696005905</v>
      </c>
      <c r="K146" s="59" t="s">
        <v>47</v>
      </c>
      <c r="L146" s="11">
        <f>L122+L143</f>
        <v>0</v>
      </c>
    </row>
    <row r="147" spans="1:12" x14ac:dyDescent="0.25">
      <c r="A147" t="s">
        <v>3</v>
      </c>
      <c r="B147" s="20">
        <f>B123</f>
        <v>1</v>
      </c>
      <c r="E147" t="s">
        <v>5</v>
      </c>
      <c r="F147" s="5">
        <f>B165</f>
        <v>502666</v>
      </c>
      <c r="I147" s="17" t="s">
        <v>37</v>
      </c>
      <c r="J147" s="42">
        <f>-PMT(E164/12,120,B164)</f>
        <v>0</v>
      </c>
      <c r="K147" s="59"/>
    </row>
    <row r="148" spans="1:12" x14ac:dyDescent="0.25">
      <c r="A148" t="s">
        <v>52</v>
      </c>
      <c r="B148" s="21">
        <v>630000</v>
      </c>
      <c r="E148" t="s">
        <v>6</v>
      </c>
      <c r="F148" s="21">
        <v>0</v>
      </c>
      <c r="I148" s="17" t="s">
        <v>38</v>
      </c>
      <c r="J148" s="42">
        <f>-PMT(E163/12,120,B163)</f>
        <v>4013.5317696005905</v>
      </c>
      <c r="K148" s="35"/>
      <c r="L148" s="11"/>
    </row>
    <row r="149" spans="1:12" x14ac:dyDescent="0.25">
      <c r="A149" t="s">
        <v>4</v>
      </c>
      <c r="B149" s="5">
        <f>VLOOKUP(B147,'Poverty Guidelines'!$A$4:$I$11,7,FALSE)</f>
        <v>23475</v>
      </c>
      <c r="E149" s="8" t="s">
        <v>8</v>
      </c>
      <c r="F149" s="9">
        <f>F147+F148</f>
        <v>502666</v>
      </c>
      <c r="I149" s="17" t="s">
        <v>39</v>
      </c>
      <c r="J149" s="42"/>
      <c r="K149" s="35"/>
    </row>
    <row r="150" spans="1:12" hidden="1" x14ac:dyDescent="0.25">
      <c r="A150" t="s">
        <v>31</v>
      </c>
      <c r="B150" s="5">
        <f>IF(((B148-B149)&lt;0), 0, ((B148-B149)/12))</f>
        <v>50543.75</v>
      </c>
    </row>
    <row r="151" spans="1:12" x14ac:dyDescent="0.25">
      <c r="A151" t="s">
        <v>32</v>
      </c>
      <c r="B151" s="28" t="str">
        <f>IF(B158="IBR", "10%",IF(B158="ICR", "20%", "10%"))</f>
        <v>10%</v>
      </c>
    </row>
    <row r="152" spans="1:12" x14ac:dyDescent="0.25">
      <c r="A152" t="s">
        <v>7</v>
      </c>
      <c r="B152" s="5">
        <f>B150*B151</f>
        <v>5054.375</v>
      </c>
    </row>
    <row r="153" spans="1:12" x14ac:dyDescent="0.25">
      <c r="B153" s="5"/>
    </row>
    <row r="154" spans="1:12" x14ac:dyDescent="0.25">
      <c r="A154" t="s">
        <v>9</v>
      </c>
      <c r="B154" s="47">
        <f>(F147/F149)*B152</f>
        <v>5054.375</v>
      </c>
      <c r="E154" s="56" t="s">
        <v>50</v>
      </c>
      <c r="F154" s="56"/>
      <c r="G154" s="37">
        <f>H130+31</f>
        <v>48201</v>
      </c>
      <c r="H154" s="37">
        <f>G154+336</f>
        <v>48537</v>
      </c>
      <c r="J154" s="42">
        <f>-PMT(E161/12,144,B161)</f>
        <v>0</v>
      </c>
    </row>
    <row r="155" spans="1:12" x14ac:dyDescent="0.25">
      <c r="A155" t="s">
        <v>10</v>
      </c>
      <c r="B155" s="10">
        <f>(F148/F149)*B152</f>
        <v>0</v>
      </c>
      <c r="J155" s="42">
        <f>-PMT(E162/12,144,B162)</f>
        <v>1864.0301982717285</v>
      </c>
    </row>
    <row r="156" spans="1:12" x14ac:dyDescent="0.25">
      <c r="B156" s="10"/>
      <c r="J156" s="42">
        <f>-PMT(E163/12,144,B163)</f>
        <v>3590.856359837187</v>
      </c>
    </row>
    <row r="157" spans="1:12" x14ac:dyDescent="0.25">
      <c r="A157" s="57" t="s">
        <v>11</v>
      </c>
      <c r="B157" s="57"/>
      <c r="C157" s="57"/>
      <c r="D157" s="57"/>
      <c r="E157" s="57"/>
      <c r="F157" s="58" t="s">
        <v>40</v>
      </c>
      <c r="G157" s="58"/>
      <c r="J157" s="43" t="s">
        <v>54</v>
      </c>
    </row>
    <row r="158" spans="1:12" x14ac:dyDescent="0.25">
      <c r="A158" s="7" t="s">
        <v>23</v>
      </c>
      <c r="B158" s="23" t="s">
        <v>28</v>
      </c>
      <c r="C158" s="16"/>
      <c r="D158" s="16"/>
      <c r="E158" s="34"/>
      <c r="F158" s="58"/>
      <c r="G158" s="58"/>
      <c r="H158" s="32">
        <f>SUM(J144:J147)</f>
        <v>6111.8974562701296</v>
      </c>
      <c r="J158" s="42">
        <f>SUM(J154:J156)</f>
        <v>5454.8865581089158</v>
      </c>
    </row>
    <row r="159" spans="1:12" x14ac:dyDescent="0.25">
      <c r="A159" s="7" t="s">
        <v>25</v>
      </c>
      <c r="B159" s="23">
        <f>B135+1</f>
        <v>6</v>
      </c>
      <c r="C159" s="16"/>
      <c r="D159" s="16"/>
      <c r="E159" s="16"/>
      <c r="J159" s="44">
        <f>B150*0.2</f>
        <v>10108.75</v>
      </c>
    </row>
    <row r="160" spans="1:12" ht="42.75" customHeight="1" x14ac:dyDescent="0.25">
      <c r="A160" s="13" t="s">
        <v>13</v>
      </c>
      <c r="B160" s="16" t="s">
        <v>14</v>
      </c>
      <c r="C160" s="12" t="s">
        <v>15</v>
      </c>
      <c r="D160" s="12"/>
      <c r="E160" s="12" t="s">
        <v>19</v>
      </c>
      <c r="F160" s="12" t="s">
        <v>20</v>
      </c>
      <c r="G160" s="12" t="s">
        <v>30</v>
      </c>
      <c r="H160" s="12" t="s">
        <v>21</v>
      </c>
      <c r="I160" s="12" t="s">
        <v>22</v>
      </c>
    </row>
    <row r="161" spans="1:12" x14ac:dyDescent="0.25">
      <c r="A161" s="7" t="s">
        <v>16</v>
      </c>
      <c r="B161" s="22">
        <f>B137</f>
        <v>0</v>
      </c>
      <c r="C161" s="3">
        <f>B161/B165</f>
        <v>0</v>
      </c>
      <c r="D161" s="3"/>
      <c r="E161" s="24">
        <f>E137</f>
        <v>0.05</v>
      </c>
      <c r="F161" s="6">
        <f>B161*E161/12</f>
        <v>0</v>
      </c>
      <c r="G161" s="6">
        <f>$B$154*C161</f>
        <v>0</v>
      </c>
      <c r="H161" s="6">
        <f>IF((F161-G161&gt;0), (F161-G161), 0)</f>
        <v>0</v>
      </c>
      <c r="I161" s="14" t="str">
        <f>IF(AND(B158="REPAYE",B159&gt;3,),(H161/2),IF(AND(B158="REPAYE",B159&lt;3.1),H161,IF(AND(B158="PAYE",B159&lt;3),H161,IF(B158="ICR",0,IF(AND(B158="IBR",B159&lt;3),H161,IF(AND(B158="REPAYE",B159&gt;3),H161/2,"$0"))))))</f>
        <v>$0</v>
      </c>
    </row>
    <row r="162" spans="1:12" x14ac:dyDescent="0.25">
      <c r="A162" s="7" t="s">
        <v>17</v>
      </c>
      <c r="B162" s="22">
        <f>IF((B139-L143&gt;=0),B138,MAX((B138:B138)+(B139-L143),0))</f>
        <v>177556</v>
      </c>
      <c r="C162" s="3">
        <f>B162/B165</f>
        <v>0.35322858518379996</v>
      </c>
      <c r="D162" s="3"/>
      <c r="E162" s="24">
        <f>E138</f>
        <v>7.3999999999999996E-2</v>
      </c>
      <c r="F162" s="6">
        <f>B162*E162/12</f>
        <v>1094.9286666666667</v>
      </c>
      <c r="G162" s="6">
        <f t="shared" ref="G162:G163" si="1">$B$154*C162</f>
        <v>1785.3497302383689</v>
      </c>
      <c r="H162" s="6">
        <f>IF((F162-G162&gt;0), (F162-G162), 0)</f>
        <v>0</v>
      </c>
      <c r="I162" s="6">
        <f>IF((B158="REPAYE"),(H162/2),0)</f>
        <v>0</v>
      </c>
    </row>
    <row r="163" spans="1:12" x14ac:dyDescent="0.25">
      <c r="A163" s="7" t="s">
        <v>18</v>
      </c>
      <c r="B163" s="22">
        <f>IF((B139-L143&gt;=0),B139-L143,MAX(B139-L143,0))</f>
        <v>325110</v>
      </c>
      <c r="C163" s="3">
        <f>B163/B165</f>
        <v>0.64677141481620004</v>
      </c>
      <c r="D163" s="3"/>
      <c r="E163" s="24">
        <f>E139</f>
        <v>8.4000000000000005E-2</v>
      </c>
      <c r="F163" s="6">
        <f>B163*E163/12</f>
        <v>2275.77</v>
      </c>
      <c r="G163" s="6">
        <f t="shared" si="1"/>
        <v>3269.0252697616311</v>
      </c>
      <c r="H163" s="6">
        <f>IF((F163-G163&gt;0), (F163-G163), 0)</f>
        <v>0</v>
      </c>
      <c r="I163" s="6">
        <f>IF((B158="REPAYE"),(H163/2),0)</f>
        <v>0</v>
      </c>
      <c r="K163"/>
      <c r="L163" s="60" t="s">
        <v>45</v>
      </c>
    </row>
    <row r="164" spans="1:12" ht="15.75" thickBot="1" x14ac:dyDescent="0.3">
      <c r="A164" s="7" t="s">
        <v>55</v>
      </c>
      <c r="B164" s="22">
        <f>B140</f>
        <v>0</v>
      </c>
      <c r="C164" s="3">
        <f>B164/B165</f>
        <v>0</v>
      </c>
      <c r="D164" s="3"/>
      <c r="E164" s="24">
        <f>E140</f>
        <v>7.2999999999999995E-2</v>
      </c>
      <c r="F164" s="18">
        <v>0</v>
      </c>
      <c r="G164" s="18">
        <v>0</v>
      </c>
      <c r="H164" s="19" t="s">
        <v>26</v>
      </c>
      <c r="I164" s="19" t="s">
        <v>26</v>
      </c>
      <c r="K164" s="30" t="s">
        <v>44</v>
      </c>
      <c r="L164" s="60"/>
    </row>
    <row r="165" spans="1:12" ht="15.75" thickBot="1" x14ac:dyDescent="0.3">
      <c r="A165" s="8" t="s">
        <v>12</v>
      </c>
      <c r="B165" s="11">
        <f>SUM(B161:B164)</f>
        <v>502666</v>
      </c>
      <c r="F165" s="11">
        <f>SUM(F161:F164)</f>
        <v>3370.6986666666667</v>
      </c>
      <c r="G165" s="11">
        <f>SUM(G161:G164)</f>
        <v>5054.375</v>
      </c>
      <c r="H165" s="11">
        <f>SUM(H161:H164)</f>
        <v>0</v>
      </c>
      <c r="I165" s="15">
        <f>SUM(I161:I164)</f>
        <v>0</v>
      </c>
      <c r="K165" s="33">
        <v>0</v>
      </c>
      <c r="L165" s="11">
        <f>IF(AND(K165&gt;0,G165&gt;=F165),((G165-F165)+(K165-G165-(H165-I165))), IF(AND(K165&gt;0,G165&lt;F165),(K165-G165-(H165-I165)),0))</f>
        <v>0</v>
      </c>
    </row>
    <row r="166" spans="1:12" ht="15.75" thickTop="1" x14ac:dyDescent="0.25"/>
    <row r="167" spans="1:12" x14ac:dyDescent="0.25">
      <c r="G167" s="59" t="s">
        <v>35</v>
      </c>
      <c r="H167" s="59"/>
      <c r="I167" s="25">
        <f>I165*12</f>
        <v>0</v>
      </c>
      <c r="K167" s="59" t="s">
        <v>46</v>
      </c>
      <c r="L167" s="31">
        <f>L165*12</f>
        <v>0</v>
      </c>
    </row>
    <row r="168" spans="1:12" x14ac:dyDescent="0.25">
      <c r="G168" s="59"/>
      <c r="H168" s="59"/>
      <c r="K168" s="59"/>
    </row>
    <row r="170" spans="1:12" x14ac:dyDescent="0.25">
      <c r="K170" s="59" t="s">
        <v>47</v>
      </c>
      <c r="L170" s="11">
        <f>L146+L167</f>
        <v>0</v>
      </c>
    </row>
    <row r="171" spans="1:12" x14ac:dyDescent="0.25">
      <c r="K171" s="59"/>
    </row>
  </sheetData>
  <sheetProtection algorithmName="SHA-512" hashValue="SAEqJ5BGkstDddQsKontvb9MvuQ4eqoVF56AM6DQE0DIzIOiXgnRTDGihq+RBFU0X4Lt7AzFehLTKJOitP5uyw==" saltValue="AU7jFD+b0NENnkY65NgWHg==" spinCount="100000" sheet="1" selectLockedCells="1"/>
  <mergeCells count="57">
    <mergeCell ref="G2:G3"/>
    <mergeCell ref="H2:I3"/>
    <mergeCell ref="G4:H4"/>
    <mergeCell ref="T103:T104"/>
    <mergeCell ref="K170:K171"/>
    <mergeCell ref="S77:S78"/>
    <mergeCell ref="G167:H168"/>
    <mergeCell ref="S34:S35"/>
    <mergeCell ref="T58:T59"/>
    <mergeCell ref="K167:K168"/>
    <mergeCell ref="L163:L164"/>
    <mergeCell ref="L67:L68"/>
    <mergeCell ref="K71:K72"/>
    <mergeCell ref="K74:K75"/>
    <mergeCell ref="A85:E85"/>
    <mergeCell ref="K98:K99"/>
    <mergeCell ref="G95:H96"/>
    <mergeCell ref="K95:K96"/>
    <mergeCell ref="L139:L140"/>
    <mergeCell ref="K122:K123"/>
    <mergeCell ref="L91:L92"/>
    <mergeCell ref="E154:F154"/>
    <mergeCell ref="A157:E157"/>
    <mergeCell ref="F157:G158"/>
    <mergeCell ref="L115:L116"/>
    <mergeCell ref="G119:H120"/>
    <mergeCell ref="K119:K120"/>
    <mergeCell ref="K143:K144"/>
    <mergeCell ref="K146:K147"/>
    <mergeCell ref="A61:E61"/>
    <mergeCell ref="A13:E13"/>
    <mergeCell ref="A37:E37"/>
    <mergeCell ref="F13:G14"/>
    <mergeCell ref="L19:L20"/>
    <mergeCell ref="L43:L44"/>
    <mergeCell ref="K23:K24"/>
    <mergeCell ref="G23:H24"/>
    <mergeCell ref="G47:H48"/>
    <mergeCell ref="K47:K48"/>
    <mergeCell ref="K26:K27"/>
    <mergeCell ref="K50:K51"/>
    <mergeCell ref="H1:I1"/>
    <mergeCell ref="E130:F130"/>
    <mergeCell ref="A133:E133"/>
    <mergeCell ref="F133:G134"/>
    <mergeCell ref="G143:H144"/>
    <mergeCell ref="E10:F10"/>
    <mergeCell ref="F37:G38"/>
    <mergeCell ref="F61:G62"/>
    <mergeCell ref="F85:G86"/>
    <mergeCell ref="F109:G110"/>
    <mergeCell ref="E34:F34"/>
    <mergeCell ref="E58:F58"/>
    <mergeCell ref="E82:F82"/>
    <mergeCell ref="E106:F106"/>
    <mergeCell ref="G71:H72"/>
    <mergeCell ref="A109:E109"/>
  </mergeCells>
  <conditionalFormatting sqref="F21:I21">
    <cfRule type="cellIs" dxfId="13" priority="13" operator="lessThan">
      <formula>0</formula>
    </cfRule>
  </conditionalFormatting>
  <conditionalFormatting sqref="F45:I45">
    <cfRule type="cellIs" dxfId="12" priority="11" operator="lessThan">
      <formula>0</formula>
    </cfRule>
  </conditionalFormatting>
  <conditionalFormatting sqref="F69:I69">
    <cfRule type="cellIs" dxfId="11" priority="9" operator="lessThan">
      <formula>0</formula>
    </cfRule>
  </conditionalFormatting>
  <conditionalFormatting sqref="F93:I93">
    <cfRule type="cellIs" dxfId="10" priority="7" operator="lessThan">
      <formula>0</formula>
    </cfRule>
  </conditionalFormatting>
  <conditionalFormatting sqref="F117:I117">
    <cfRule type="cellIs" dxfId="9" priority="5" operator="lessThan">
      <formula>0</formula>
    </cfRule>
  </conditionalFormatting>
  <conditionalFormatting sqref="F141:I141">
    <cfRule type="cellIs" dxfId="8" priority="3" operator="lessThan">
      <formula>0</formula>
    </cfRule>
  </conditionalFormatting>
  <conditionalFormatting sqref="F165:I165">
    <cfRule type="cellIs" dxfId="7" priority="1" operator="lessThan">
      <formula>0</formula>
    </cfRule>
  </conditionalFormatting>
  <conditionalFormatting sqref="H17:I19">
    <cfRule type="cellIs" dxfId="6" priority="14" operator="lessThan">
      <formula>0</formula>
    </cfRule>
  </conditionalFormatting>
  <conditionalFormatting sqref="H41:I43">
    <cfRule type="cellIs" dxfId="5" priority="12" operator="lessThan">
      <formula>0</formula>
    </cfRule>
  </conditionalFormatting>
  <conditionalFormatting sqref="H65:I67">
    <cfRule type="cellIs" dxfId="4" priority="10" operator="lessThan">
      <formula>0</formula>
    </cfRule>
  </conditionalFormatting>
  <conditionalFormatting sqref="H89:I91">
    <cfRule type="cellIs" dxfId="3" priority="8" operator="lessThan">
      <formula>0</formula>
    </cfRule>
  </conditionalFormatting>
  <conditionalFormatting sqref="H113:I115">
    <cfRule type="cellIs" dxfId="2" priority="6" operator="lessThan">
      <formula>0</formula>
    </cfRule>
  </conditionalFormatting>
  <conditionalFormatting sqref="H137:I139">
    <cfRule type="cellIs" dxfId="1" priority="4" operator="lessThan">
      <formula>0</formula>
    </cfRule>
  </conditionalFormatting>
  <conditionalFormatting sqref="H161:I163">
    <cfRule type="cellIs" dxfId="0" priority="2" operator="lessThan">
      <formula>0</formula>
    </cfRule>
  </conditionalFormatting>
  <dataValidations count="1">
    <dataValidation type="list" allowBlank="1" showInputMessage="1" showErrorMessage="1" sqref="B14 B110 B86 B62 B38 B134 B158" xr:uid="{00000000-0002-0000-0100-000000000000}">
      <formula1>$O$3:$O$6</formula1>
    </dataValidation>
  </dataValidations>
  <pageMargins left="1.25" right="1.25" top="0.25" bottom="0.25" header="0" footer="0"/>
  <pageSetup scale="96" fitToHeight="0" orientation="landscape" r:id="rId1"/>
  <ignoredErrors>
    <ignoredError sqref="B4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0090f7-4f7c-4f7b-94b4-89e077b62965" xsi:nil="true"/>
    <lcf76f155ced4ddcb4097134ff3c332f xmlns="ef384111-7bdb-47fc-bcbb-305018ceac6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0C91AAE129EE40BA5AE24230030F9A" ma:contentTypeVersion="18" ma:contentTypeDescription="Create a new document." ma:contentTypeScope="" ma:versionID="52c60de8889869e3a60ef49b551d974f">
  <xsd:schema xmlns:xsd="http://www.w3.org/2001/XMLSchema" xmlns:xs="http://www.w3.org/2001/XMLSchema" xmlns:p="http://schemas.microsoft.com/office/2006/metadata/properties" xmlns:ns2="ef384111-7bdb-47fc-bcbb-305018ceac69" xmlns:ns3="080090f7-4f7c-4f7b-94b4-89e077b62965" targetNamespace="http://schemas.microsoft.com/office/2006/metadata/properties" ma:root="true" ma:fieldsID="2e5eda51b8e7854d60f89d18b86b1ec9" ns2:_="" ns3:_="">
    <xsd:import namespace="ef384111-7bdb-47fc-bcbb-305018ceac69"/>
    <xsd:import namespace="080090f7-4f7c-4f7b-94b4-89e077b629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84111-7bdb-47fc-bcbb-305018cea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dd9e69-5813-4dad-a372-9b0c5fefe3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090f7-4f7c-4f7b-94b4-89e077b6296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description="" ma:hidden="true" ma:list="{f8891735-11ef-4ff6-8968-faa1a8bc82f1}" ma:internalName="TaxCatchAll" ma:showField="CatchAllData" ma:web="080090f7-4f7c-4f7b-94b4-89e077b629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797D98-8C1F-47B7-8A76-32A32F2878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1126E2-1A6A-444D-BE91-777EC70841D1}">
  <ds:schemaRefs>
    <ds:schemaRef ds:uri="http://schemas.microsoft.com/office/2006/metadata/properties"/>
    <ds:schemaRef ds:uri="http://schemas.microsoft.com/office/infopath/2007/PartnerControls"/>
    <ds:schemaRef ds:uri="080090f7-4f7c-4f7b-94b4-89e077b62965"/>
    <ds:schemaRef ds:uri="ef384111-7bdb-47fc-bcbb-305018ceac69"/>
  </ds:schemaRefs>
</ds:datastoreItem>
</file>

<file path=customXml/itemProps3.xml><?xml version="1.0" encoding="utf-8"?>
<ds:datastoreItem xmlns:ds="http://schemas.openxmlformats.org/officeDocument/2006/customXml" ds:itemID="{987B3E8F-1E86-4EAD-9123-D8816377C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384111-7bdb-47fc-bcbb-305018ceac69"/>
    <ds:schemaRef ds:uri="080090f7-4f7c-4f7b-94b4-89e077b629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Poverty Guidelines</vt:lpstr>
      <vt:lpstr>Calculator</vt:lpstr>
      <vt:lpstr>Calculator!Print_Area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Mickelson</dc:creator>
  <cp:lastModifiedBy>Sally Mickelson</cp:lastModifiedBy>
  <cp:lastPrinted>2019-05-22T19:21:54Z</cp:lastPrinted>
  <dcterms:created xsi:type="dcterms:W3CDTF">2018-05-16T19:05:10Z</dcterms:created>
  <dcterms:modified xsi:type="dcterms:W3CDTF">2025-04-16T00:59:43Z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0x010100540C91AAE129EE40BA5AE24230030F9A</vt:lpwstr>
  </property>
  <property fmtid="{D5CDD505-2E9C-101B-9397-08002B2CF9AE}" pid="3" name="Order">
    <vt:r8>37400</vt:r8>
  </property>
  <property fmtid="{D5CDD505-2E9C-101B-9397-08002B2CF9AE}" pid="4" name="MediaServiceImageTags">
    <vt:lpwstr/>
  </property>
</Properties>
</file>